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jpeg" ContentType="image/jpeg"/>
  <Override PartName="/xl/charts/chart3.xml" ContentType="application/vnd.openxmlformats-officedocument.drawingml.chart+xml"/>
  <Default Extension="wmf" ContentType="image/x-w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9420" windowHeight="4500" tabRatio="702" activeTab="5"/>
  </bookViews>
  <sheets>
    <sheet name="Ejercicio 1" sheetId="2" r:id="rId1"/>
    <sheet name="Ejercicio 2" sheetId="4" r:id="rId2"/>
    <sheet name="Ejercicio 3" sheetId="5" r:id="rId3"/>
    <sheet name="Ejercicio 4" sheetId="7" r:id="rId4"/>
    <sheet name="Ejercicio 5" sheetId="10" r:id="rId5"/>
    <sheet name="Ejercicio 6" sheetId="12" r:id="rId6"/>
  </sheets>
  <definedNames>
    <definedName name="_xlnm._FilterDatabase" localSheetId="0" hidden="1">'Ejercicio 1'!$F$4:$F$5</definedName>
    <definedName name="aranceles">#REF!</definedName>
    <definedName name="inscripciones">#REF!</definedName>
    <definedName name="IVA">#REF!</definedName>
    <definedName name="materias">#REF!</definedName>
    <definedName name="Productos">#REF!</definedName>
  </definedNames>
  <calcPr calcId="125725"/>
</workbook>
</file>

<file path=xl/calcChain.xml><?xml version="1.0" encoding="utf-8"?>
<calcChain xmlns="http://schemas.openxmlformats.org/spreadsheetml/2006/main">
  <c r="C28" i="12"/>
  <c r="C27"/>
  <c r="J26"/>
  <c r="F26"/>
  <c r="J10"/>
  <c r="J11"/>
  <c r="J12"/>
  <c r="J13"/>
  <c r="J14"/>
  <c r="J15"/>
  <c r="J16"/>
  <c r="J17"/>
  <c r="J18"/>
  <c r="J19"/>
  <c r="J20"/>
  <c r="J21"/>
  <c r="J22"/>
  <c r="J23"/>
  <c r="J24"/>
  <c r="J25"/>
  <c r="J9"/>
  <c r="F25"/>
  <c r="F10"/>
  <c r="F11"/>
  <c r="F12"/>
  <c r="F13"/>
  <c r="F14"/>
  <c r="F15"/>
  <c r="F16"/>
  <c r="F17"/>
  <c r="F18"/>
  <c r="F19"/>
  <c r="F20"/>
  <c r="F21"/>
  <c r="F22"/>
  <c r="F23"/>
  <c r="F24"/>
  <c r="F9"/>
  <c r="B6"/>
  <c r="G9" s="1"/>
  <c r="H9" s="1"/>
  <c r="K9" s="1"/>
  <c r="J3" i="10"/>
  <c r="J4"/>
  <c r="J5"/>
  <c r="J6"/>
  <c r="J7"/>
  <c r="J8"/>
  <c r="J9"/>
  <c r="J10"/>
  <c r="J11"/>
  <c r="J2"/>
  <c r="I3"/>
  <c r="I4"/>
  <c r="I5"/>
  <c r="I6"/>
  <c r="I7"/>
  <c r="I8"/>
  <c r="I9"/>
  <c r="I10"/>
  <c r="I11"/>
  <c r="I2"/>
  <c r="G3"/>
  <c r="G4"/>
  <c r="G5"/>
  <c r="G6"/>
  <c r="G7"/>
  <c r="G8"/>
  <c r="G9"/>
  <c r="G10"/>
  <c r="G11"/>
  <c r="G2"/>
  <c r="E3"/>
  <c r="E4"/>
  <c r="E5"/>
  <c r="E6"/>
  <c r="E7"/>
  <c r="E8"/>
  <c r="E9"/>
  <c r="E10"/>
  <c r="E11"/>
  <c r="E2"/>
  <c r="D3"/>
  <c r="D4"/>
  <c r="D5"/>
  <c r="D6"/>
  <c r="D7"/>
  <c r="D8"/>
  <c r="D9"/>
  <c r="D10"/>
  <c r="D11"/>
  <c r="D2"/>
  <c r="C3"/>
  <c r="C4"/>
  <c r="C5"/>
  <c r="C6"/>
  <c r="C7"/>
  <c r="C8"/>
  <c r="C9"/>
  <c r="C10"/>
  <c r="C11"/>
  <c r="C2"/>
  <c r="B14" i="7"/>
  <c r="B5"/>
  <c r="D5"/>
  <c r="D6"/>
  <c r="E6" s="1"/>
  <c r="D7"/>
  <c r="E7" s="1"/>
  <c r="D8"/>
  <c r="E8" s="1"/>
  <c r="D9"/>
  <c r="E9" s="1"/>
  <c r="D10"/>
  <c r="E10" s="1"/>
  <c r="D11"/>
  <c r="E11" s="1"/>
  <c r="D12"/>
  <c r="E12" s="1"/>
  <c r="D13"/>
  <c r="E13" s="1"/>
  <c r="D14"/>
  <c r="E14" s="1"/>
  <c r="B6"/>
  <c r="B7"/>
  <c r="B8"/>
  <c r="B9"/>
  <c r="B10"/>
  <c r="B11"/>
  <c r="B12"/>
  <c r="B13"/>
  <c r="D23" i="5"/>
  <c r="D22"/>
  <c r="C23"/>
  <c r="C22"/>
  <c r="D17"/>
  <c r="D13"/>
  <c r="D10"/>
  <c r="D7"/>
  <c r="D18" s="1"/>
  <c r="E9" i="4"/>
  <c r="E16"/>
  <c r="E13"/>
  <c r="E17" s="1"/>
  <c r="F8"/>
  <c r="F7"/>
  <c r="F6"/>
  <c r="F10"/>
  <c r="F15"/>
  <c r="F5"/>
  <c r="F12"/>
  <c r="F11"/>
  <c r="F14"/>
  <c r="H8"/>
  <c r="H7"/>
  <c r="H6"/>
  <c r="H10"/>
  <c r="H15"/>
  <c r="H5"/>
  <c r="H12"/>
  <c r="H11"/>
  <c r="H14"/>
  <c r="G8"/>
  <c r="G7"/>
  <c r="G6"/>
  <c r="G10"/>
  <c r="G15"/>
  <c r="G5"/>
  <c r="G12"/>
  <c r="G11"/>
  <c r="G14"/>
  <c r="C14"/>
  <c r="I14" s="1"/>
  <c r="C8"/>
  <c r="I8" s="1"/>
  <c r="C7"/>
  <c r="I7" s="1"/>
  <c r="C6"/>
  <c r="I6" s="1"/>
  <c r="C10"/>
  <c r="I10" s="1"/>
  <c r="C15"/>
  <c r="I15" s="1"/>
  <c r="C5"/>
  <c r="I5" s="1"/>
  <c r="C12"/>
  <c r="I12" s="1"/>
  <c r="C11"/>
  <c r="I11" s="1"/>
  <c r="B14"/>
  <c r="B8"/>
  <c r="B7"/>
  <c r="B6"/>
  <c r="B10"/>
  <c r="B15"/>
  <c r="B5"/>
  <c r="B12"/>
  <c r="B11"/>
  <c r="B4" i="2"/>
  <c r="I11"/>
  <c r="I12"/>
  <c r="I17" s="1"/>
  <c r="J17" s="1"/>
  <c r="D19" s="1"/>
  <c r="I13"/>
  <c r="J13" s="1"/>
  <c r="I14"/>
  <c r="I15"/>
  <c r="I16"/>
  <c r="I10"/>
  <c r="H17"/>
  <c r="H10"/>
  <c r="J11"/>
  <c r="J12"/>
  <c r="J14"/>
  <c r="J15"/>
  <c r="J16"/>
  <c r="J10"/>
  <c r="H11"/>
  <c r="H12"/>
  <c r="H13"/>
  <c r="H14"/>
  <c r="H15"/>
  <c r="H16"/>
  <c r="G11"/>
  <c r="G12"/>
  <c r="G13"/>
  <c r="G14"/>
  <c r="G15"/>
  <c r="G16"/>
  <c r="G10"/>
  <c r="F10"/>
  <c r="F11"/>
  <c r="F12"/>
  <c r="F13"/>
  <c r="F14"/>
  <c r="F15"/>
  <c r="F16"/>
  <c r="E11"/>
  <c r="E12"/>
  <c r="E13"/>
  <c r="E14"/>
  <c r="E15"/>
  <c r="E16"/>
  <c r="E10"/>
  <c r="C11"/>
  <c r="C12"/>
  <c r="C13"/>
  <c r="C14"/>
  <c r="C15"/>
  <c r="C16"/>
  <c r="C10"/>
  <c r="B11"/>
  <c r="B12"/>
  <c r="B13"/>
  <c r="B14"/>
  <c r="B15"/>
  <c r="B16"/>
  <c r="B10"/>
  <c r="I6"/>
  <c r="G10" i="12" l="1"/>
  <c r="H10" s="1"/>
  <c r="K10" s="1"/>
  <c r="G22"/>
  <c r="H22" s="1"/>
  <c r="K22" s="1"/>
  <c r="G18"/>
  <c r="H18" s="1"/>
  <c r="K18" s="1"/>
  <c r="G14"/>
  <c r="H14" s="1"/>
  <c r="K14" s="1"/>
  <c r="G23"/>
  <c r="H23" s="1"/>
  <c r="K23" s="1"/>
  <c r="G19"/>
  <c r="H19" s="1"/>
  <c r="K19" s="1"/>
  <c r="G15"/>
  <c r="H15" s="1"/>
  <c r="K15" s="1"/>
  <c r="G11"/>
  <c r="H11" s="1"/>
  <c r="K11" s="1"/>
  <c r="G24"/>
  <c r="H24" s="1"/>
  <c r="K24" s="1"/>
  <c r="G20"/>
  <c r="H20" s="1"/>
  <c r="K20" s="1"/>
  <c r="G16"/>
  <c r="H16" s="1"/>
  <c r="K16" s="1"/>
  <c r="G12"/>
  <c r="H12" s="1"/>
  <c r="K12" s="1"/>
  <c r="G25"/>
  <c r="H25" s="1"/>
  <c r="K25" s="1"/>
  <c r="G21"/>
  <c r="H21" s="1"/>
  <c r="K21" s="1"/>
  <c r="G17"/>
  <c r="H17" s="1"/>
  <c r="K17" s="1"/>
  <c r="G13"/>
  <c r="H13" s="1"/>
  <c r="K13" s="1"/>
  <c r="D17" i="7"/>
  <c r="F12"/>
  <c r="G12" s="1"/>
  <c r="F8"/>
  <c r="G8" s="1"/>
  <c r="F13"/>
  <c r="G13" s="1"/>
  <c r="F9"/>
  <c r="G9" s="1"/>
  <c r="F14"/>
  <c r="G14" s="1"/>
  <c r="F10"/>
  <c r="G10" s="1"/>
  <c r="F6"/>
  <c r="G6" s="1"/>
  <c r="F11"/>
  <c r="G11" s="1"/>
  <c r="F7"/>
  <c r="G7" s="1"/>
  <c r="D16"/>
  <c r="D19"/>
  <c r="D18"/>
  <c r="E5"/>
  <c r="I13" i="4"/>
  <c r="I16"/>
  <c r="I9"/>
  <c r="I17" s="1"/>
  <c r="H26" i="12" l="1"/>
  <c r="K26" s="1"/>
  <c r="E18" i="7"/>
  <c r="E16"/>
  <c r="E19"/>
  <c r="E17"/>
  <c r="F5"/>
  <c r="G5" s="1"/>
  <c r="G18" l="1"/>
  <c r="G16"/>
  <c r="G19"/>
  <c r="G17"/>
  <c r="F18"/>
  <c r="F19"/>
  <c r="F16"/>
  <c r="F17"/>
</calcChain>
</file>

<file path=xl/sharedStrings.xml><?xml version="1.0" encoding="utf-8"?>
<sst xmlns="http://schemas.openxmlformats.org/spreadsheetml/2006/main" count="331" uniqueCount="214">
  <si>
    <t>SUPERMERCADO "MANOLO"</t>
  </si>
  <si>
    <t>Fecha:</t>
  </si>
  <si>
    <t>Cliente:</t>
  </si>
  <si>
    <t>Domicilio:</t>
  </si>
  <si>
    <t>Situación I.V.A:</t>
  </si>
  <si>
    <t>Código</t>
  </si>
  <si>
    <t>Rubro</t>
  </si>
  <si>
    <t>Descripción</t>
  </si>
  <si>
    <t>Cantidad</t>
  </si>
  <si>
    <t>Importes</t>
  </si>
  <si>
    <t>Unitario</t>
  </si>
  <si>
    <t>Descuento</t>
  </si>
  <si>
    <t>Neto</t>
  </si>
  <si>
    <t>Total</t>
  </si>
  <si>
    <t>IVA</t>
  </si>
  <si>
    <t>Final</t>
  </si>
  <si>
    <t>Detalle del producto</t>
  </si>
  <si>
    <t>TOTAL A ABONAR:</t>
  </si>
  <si>
    <t xml:space="preserve">Ud acumuló con ésta compra: </t>
  </si>
  <si>
    <t>"Manolo-puntos" para canjear por premios.</t>
  </si>
  <si>
    <t>Lo esperamos nuevamente!!</t>
  </si>
  <si>
    <t>TABLA DE PRODUCTOS A LA VENTA</t>
  </si>
  <si>
    <t>Precio unitario</t>
  </si>
  <si>
    <t>Almacén</t>
  </si>
  <si>
    <t>Perfumería</t>
  </si>
  <si>
    <t>Limpieza</t>
  </si>
  <si>
    <t>Bebidas</t>
  </si>
  <si>
    <t>Carnicería</t>
  </si>
  <si>
    <t>Yerba "Yuyito"</t>
  </si>
  <si>
    <t>Azucar "Sur"</t>
  </si>
  <si>
    <t>Colonia "Y2K"</t>
  </si>
  <si>
    <t>Jabón "Shock"</t>
  </si>
  <si>
    <t>Atún "Tun"</t>
  </si>
  <si>
    <t>Agua "H2O"</t>
  </si>
  <si>
    <t>Jugo "Hugo"</t>
  </si>
  <si>
    <t>Lomo</t>
  </si>
  <si>
    <t>Algodón "Copo"</t>
  </si>
  <si>
    <t>Sopa "Nor Suecia"</t>
  </si>
  <si>
    <t>Asado</t>
  </si>
  <si>
    <t>Juan Carlos Sanchez</t>
  </si>
  <si>
    <t>Castelli 909 San Justo</t>
  </si>
  <si>
    <t>Porcentaje IVA:</t>
  </si>
  <si>
    <t>Situación</t>
  </si>
  <si>
    <t>Porcentaje</t>
  </si>
  <si>
    <t>TABLA DEL IVA</t>
  </si>
  <si>
    <t>R.I.</t>
  </si>
  <si>
    <t>R.N.I.</t>
  </si>
  <si>
    <t>Exento</t>
  </si>
  <si>
    <t>EXÁMENES FINALES</t>
  </si>
  <si>
    <t>Código de materia</t>
  </si>
  <si>
    <t>Materia</t>
  </si>
  <si>
    <t>Facultad</t>
  </si>
  <si>
    <t>Fécha de exámen</t>
  </si>
  <si>
    <t>Cantidad de inscriptos</t>
  </si>
  <si>
    <t>Condición</t>
  </si>
  <si>
    <t>Aula designada</t>
  </si>
  <si>
    <t>Publicación de las notas</t>
  </si>
  <si>
    <t>Código de facultad</t>
  </si>
  <si>
    <t>Derecho Público</t>
  </si>
  <si>
    <t>Derecho Penal</t>
  </si>
  <si>
    <t>Derecho Civil</t>
  </si>
  <si>
    <t>Sistemas Operativos I</t>
  </si>
  <si>
    <t>Análisis Matemático</t>
  </si>
  <si>
    <t>Informática I</t>
  </si>
  <si>
    <t>Estadística</t>
  </si>
  <si>
    <t>Informática II</t>
  </si>
  <si>
    <t>Inglés I</t>
  </si>
  <si>
    <t>A</t>
  </si>
  <si>
    <t>B</t>
  </si>
  <si>
    <t>C</t>
  </si>
  <si>
    <t>Arancel por exámen</t>
  </si>
  <si>
    <t>Derecho</t>
  </si>
  <si>
    <t>Ingeniería</t>
  </si>
  <si>
    <t>Cs.Económicas</t>
  </si>
  <si>
    <t>Marca</t>
  </si>
  <si>
    <t>Modelo</t>
  </si>
  <si>
    <t>Origen</t>
  </si>
  <si>
    <t>Peugeot</t>
  </si>
  <si>
    <t>Nacional</t>
  </si>
  <si>
    <t>Importado</t>
  </si>
  <si>
    <t>Fiat</t>
  </si>
  <si>
    <t>Siena</t>
  </si>
  <si>
    <t>Chevrolet</t>
  </si>
  <si>
    <t>Corsa</t>
  </si>
  <si>
    <t>Uno</t>
  </si>
  <si>
    <t>Astra</t>
  </si>
  <si>
    <t>Ford</t>
  </si>
  <si>
    <t>Mondeo</t>
  </si>
  <si>
    <t>Fiesta</t>
  </si>
  <si>
    <t>TOTAL IMPORTADOS</t>
  </si>
  <si>
    <t>TOTAL NACIONALES</t>
  </si>
  <si>
    <t>Unidades</t>
  </si>
  <si>
    <t>Modelos</t>
  </si>
  <si>
    <t>COMPU MAC S.A.</t>
  </si>
  <si>
    <t>LA MEJOR EMPRESA DE COMPUTACIÓN</t>
  </si>
  <si>
    <t>CODIGO</t>
  </si>
  <si>
    <t>PRODUCTO</t>
  </si>
  <si>
    <t>PLAN ELEGIDO</t>
  </si>
  <si>
    <t>PRECIO LISTA</t>
  </si>
  <si>
    <t>VALOR CUOTA</t>
  </si>
  <si>
    <t>VALOR INTERESES</t>
  </si>
  <si>
    <t>PRECIO FINAL</t>
  </si>
  <si>
    <t>IBM</t>
  </si>
  <si>
    <t>EPSON</t>
  </si>
  <si>
    <t>HP</t>
  </si>
  <si>
    <t>TEXAS</t>
  </si>
  <si>
    <t>SAMSUNG</t>
  </si>
  <si>
    <t>TOSHIBA</t>
  </si>
  <si>
    <t>COMPAQ</t>
  </si>
  <si>
    <t>NORTON</t>
  </si>
  <si>
    <t>THUNDER BYTE</t>
  </si>
  <si>
    <t>PLAN1</t>
  </si>
  <si>
    <t>PLAN3</t>
  </si>
  <si>
    <t>PLAN2</t>
  </si>
  <si>
    <t>MÁXIMO</t>
  </si>
  <si>
    <t>MÍNIMO</t>
  </si>
  <si>
    <t>PROMEDIO</t>
  </si>
  <si>
    <t>TOTAL</t>
  </si>
  <si>
    <t>CUOTAS</t>
  </si>
  <si>
    <t>INTERESES</t>
  </si>
  <si>
    <t>Nº Vuelo</t>
  </si>
  <si>
    <t>Destino</t>
  </si>
  <si>
    <t>Precio</t>
  </si>
  <si>
    <t>Tasa de embarque</t>
  </si>
  <si>
    <t>Impuesto al turismo</t>
  </si>
  <si>
    <t>Exceso equipaje</t>
  </si>
  <si>
    <t>Banda negativa</t>
  </si>
  <si>
    <t>Descuento Banda Neg.</t>
  </si>
  <si>
    <t>Total a pagar</t>
  </si>
  <si>
    <t>Mardel</t>
  </si>
  <si>
    <t>Córdoba</t>
  </si>
  <si>
    <t>Bariloche</t>
  </si>
  <si>
    <t>Mendoza</t>
  </si>
  <si>
    <t>S</t>
  </si>
  <si>
    <t>N</t>
  </si>
  <si>
    <t>Exceso de equipaje</t>
  </si>
  <si>
    <t>Hasta 20 kg (libre)</t>
  </si>
  <si>
    <t>Exceso, por kg</t>
  </si>
  <si>
    <t>Desc. banda negativa</t>
  </si>
  <si>
    <t>Imp.al turismo</t>
  </si>
  <si>
    <t>Rosario</t>
  </si>
  <si>
    <t>Tucumán</t>
  </si>
  <si>
    <t>Ushuaia</t>
  </si>
  <si>
    <t>EMPRESA "LOS NOGALES S.R.L."</t>
  </si>
  <si>
    <t>Planilla de Empleados</t>
  </si>
  <si>
    <t>Fecha</t>
  </si>
  <si>
    <t>Nº de legajo</t>
  </si>
  <si>
    <t>Apellido</t>
  </si>
  <si>
    <t>Nombre</t>
  </si>
  <si>
    <t>Fecha de Ingreso</t>
  </si>
  <si>
    <t>Sueldo</t>
  </si>
  <si>
    <t>Antigüedad</t>
  </si>
  <si>
    <t>Adicional por antigüedad</t>
  </si>
  <si>
    <t>Título terciario</t>
  </si>
  <si>
    <t>Adicional por título</t>
  </si>
  <si>
    <t>Sueldo con Adicionales</t>
  </si>
  <si>
    <t>Calleja</t>
  </si>
  <si>
    <t>José</t>
  </si>
  <si>
    <t>EJECUTIVO</t>
  </si>
  <si>
    <t>Magno</t>
  </si>
  <si>
    <t>Silvia</t>
  </si>
  <si>
    <t>Fuentes</t>
  </si>
  <si>
    <t>Angel</t>
  </si>
  <si>
    <t>FABRICACION</t>
  </si>
  <si>
    <t>Hernández</t>
  </si>
  <si>
    <t>Susana</t>
  </si>
  <si>
    <t>Vergara</t>
  </si>
  <si>
    <t>David</t>
  </si>
  <si>
    <t>VENTAS</t>
  </si>
  <si>
    <t>Diaz</t>
  </si>
  <si>
    <t>Marina</t>
  </si>
  <si>
    <t>Pacheco</t>
  </si>
  <si>
    <t>Jorge</t>
  </si>
  <si>
    <t>MARKETING</t>
  </si>
  <si>
    <t>Reglez</t>
  </si>
  <si>
    <t>Fernando</t>
  </si>
  <si>
    <t>Alcalde</t>
  </si>
  <si>
    <t>DISTRIBUCION</t>
  </si>
  <si>
    <t>Usero</t>
  </si>
  <si>
    <t>Lucio</t>
  </si>
  <si>
    <t>Yuste</t>
  </si>
  <si>
    <t>Cristina</t>
  </si>
  <si>
    <t>Martínez</t>
  </si>
  <si>
    <t>Lisa</t>
  </si>
  <si>
    <t>OPERACIONES</t>
  </si>
  <si>
    <t>Alonso</t>
  </si>
  <si>
    <t>Juan</t>
  </si>
  <si>
    <t>Salas</t>
  </si>
  <si>
    <t>María</t>
  </si>
  <si>
    <t>Calvillo</t>
  </si>
  <si>
    <t>Julia</t>
  </si>
  <si>
    <t>INFORMATICA</t>
  </si>
  <si>
    <t>Bermejo</t>
  </si>
  <si>
    <t>Gregorio</t>
  </si>
  <si>
    <t>Ramallo</t>
  </si>
  <si>
    <t>Ana</t>
  </si>
  <si>
    <t>TOTALES</t>
  </si>
  <si>
    <t>Total de empleados:</t>
  </si>
  <si>
    <t>Cantidad de ejecutivos:</t>
  </si>
  <si>
    <t>Departamento</t>
  </si>
  <si>
    <t>VENTAS DEL PRIMER TRIMESTRE AÑO 2011</t>
  </si>
  <si>
    <t>I-MMXII</t>
  </si>
  <si>
    <t>ACER</t>
  </si>
  <si>
    <t>Total Cs.Económicas</t>
  </si>
  <si>
    <t>Total Derecho</t>
  </si>
  <si>
    <t>Total Ingeniería</t>
  </si>
  <si>
    <t>Total general</t>
  </si>
  <si>
    <t>Total Chevrolet</t>
  </si>
  <si>
    <t>Total Fiat</t>
  </si>
  <si>
    <t>Total Ford</t>
  </si>
  <si>
    <t>Total Peugeot</t>
  </si>
  <si>
    <t>"MMXIII31C"</t>
  </si>
  <si>
    <t>Kg. Equipaje</t>
  </si>
  <si>
    <t>Asignación</t>
  </si>
</sst>
</file>

<file path=xl/styles.xml><?xml version="1.0" encoding="utf-8"?>
<styleSheet xmlns="http://schemas.openxmlformats.org/spreadsheetml/2006/main">
  <numFmts count="7">
    <numFmt numFmtId="164" formatCode="_-* #,##0.00\ &quot;Pts&quot;_-;\-* #,##0.00\ &quot;Pts&quot;_-;_-* &quot;-&quot;??\ &quot;Pts&quot;_-;_-@_-"/>
    <numFmt numFmtId="165" formatCode="mmm\-yyyy"/>
    <numFmt numFmtId="166" formatCode="[$$-2C0A]\ #,##0.00"/>
    <numFmt numFmtId="167" formatCode="_-* #,##0.00\ [$€]_-;\-* #,##0.00\ [$€]_-;_-* &quot;-&quot;??\ [$€]_-;_-@_-"/>
    <numFmt numFmtId="168" formatCode="&quot;$&quot;#,##0.00"/>
    <numFmt numFmtId="169" formatCode="[$-C0A]d\ &quot;de&quot;\ mmmm\ &quot;de&quot;\ yyyy;@"/>
    <numFmt numFmtId="170" formatCode="[$$-2C0A]\ #,##0"/>
  </numFmts>
  <fonts count="1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20"/>
      <name val="Papyrus"/>
      <family val="4"/>
    </font>
    <font>
      <b/>
      <sz val="1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24"/>
      <name val="Copperplate Gothic Bold"/>
      <family val="2"/>
    </font>
    <font>
      <sz val="10"/>
      <name val="Arial"/>
    </font>
    <font>
      <b/>
      <sz val="28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33CAFF"/>
        <bgColor rgb="FF21C5FF"/>
      </patternFill>
    </fill>
    <fill>
      <patternFill patternType="solid">
        <fgColor rgb="FF66FF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AFFFE"/>
        <bgColor rgb="FF00FFFF"/>
      </patternFill>
    </fill>
    <fill>
      <patternFill patternType="solid">
        <fgColor rgb="FF60F6FA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BBECAA"/>
        <bgColor indexed="64"/>
      </patternFill>
    </fill>
    <fill>
      <patternFill patternType="solid">
        <fgColor rgb="FFABEEA0"/>
        <bgColor indexed="64"/>
      </patternFill>
    </fill>
    <fill>
      <patternFill patternType="solid">
        <fgColor rgb="FF09BDE1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rgb="FFFFFF19"/>
        <bgColor indexed="64"/>
      </patternFill>
    </fill>
    <fill>
      <patternFill patternType="solid">
        <fgColor rgb="FFFFFF33"/>
        <bgColor indexed="64"/>
      </patternFill>
    </fill>
    <fill>
      <patternFill patternType="solid">
        <fgColor rgb="FFFFFF5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6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57B17"/>
        <bgColor indexed="64"/>
      </patternFill>
    </fill>
    <fill>
      <patternFill patternType="solid">
        <fgColor rgb="FFFFC819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DashDot">
        <color auto="1"/>
      </right>
      <top style="mediumDashDot">
        <color auto="1"/>
      </top>
      <bottom style="mediumDashDot">
        <color auto="1"/>
      </bottom>
      <diagonal/>
    </border>
    <border>
      <left style="mediumDashDot">
        <color auto="1"/>
      </left>
      <right style="mediumDashDot">
        <color auto="1"/>
      </right>
      <top style="mediumDashDot">
        <color auto="1"/>
      </top>
      <bottom style="mediumDashDot">
        <color auto="1"/>
      </bottom>
      <diagonal/>
    </border>
    <border>
      <left style="mediumDashDot">
        <color auto="1"/>
      </left>
      <right style="thick">
        <color auto="1"/>
      </right>
      <top style="mediumDashDot">
        <color auto="1"/>
      </top>
      <bottom style="mediumDashDot">
        <color auto="1"/>
      </bottom>
      <diagonal/>
    </border>
    <border>
      <left style="thick">
        <color auto="1"/>
      </left>
      <right style="mediumDashDot">
        <color auto="1"/>
      </right>
      <top style="mediumDashDot">
        <color auto="1"/>
      </top>
      <bottom style="thick">
        <color auto="1"/>
      </bottom>
      <diagonal/>
    </border>
    <border>
      <left style="mediumDashDot">
        <color auto="1"/>
      </left>
      <right style="mediumDashDot">
        <color auto="1"/>
      </right>
      <top style="mediumDashDot">
        <color auto="1"/>
      </top>
      <bottom style="thick">
        <color auto="1"/>
      </bottom>
      <diagonal/>
    </border>
    <border>
      <left style="mediumDashDot">
        <color auto="1"/>
      </left>
      <right style="thick">
        <color auto="1"/>
      </right>
      <top style="mediumDashDot">
        <color auto="1"/>
      </top>
      <bottom style="thick">
        <color auto="1"/>
      </bottom>
      <diagonal/>
    </border>
    <border>
      <left style="thick">
        <color auto="1"/>
      </left>
      <right style="mediumDashDot">
        <color auto="1"/>
      </right>
      <top/>
      <bottom style="mediumDashDot">
        <color auto="1"/>
      </bottom>
      <diagonal/>
    </border>
    <border>
      <left style="mediumDashDot">
        <color auto="1"/>
      </left>
      <right style="mediumDashDot">
        <color auto="1"/>
      </right>
      <top/>
      <bottom style="mediumDashDot">
        <color auto="1"/>
      </bottom>
      <diagonal/>
    </border>
    <border>
      <left style="mediumDashDot">
        <color auto="1"/>
      </left>
      <right style="thick">
        <color auto="1"/>
      </right>
      <top/>
      <bottom style="mediumDashDot">
        <color auto="1"/>
      </bottom>
      <diagonal/>
    </border>
    <border>
      <left style="thick">
        <color auto="1"/>
      </left>
      <right style="mediumDashDot">
        <color auto="1"/>
      </right>
      <top style="thick">
        <color auto="1"/>
      </top>
      <bottom style="thick">
        <color auto="1"/>
      </bottom>
      <diagonal/>
    </border>
    <border>
      <left style="mediumDashDot">
        <color auto="1"/>
      </left>
      <right style="mediumDashDot">
        <color auto="1"/>
      </right>
      <top style="thick">
        <color auto="1"/>
      </top>
      <bottom style="thick">
        <color auto="1"/>
      </bottom>
      <diagonal/>
    </border>
    <border>
      <left style="mediumDashDot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double">
        <color indexed="64"/>
      </left>
      <right style="mediumDashed">
        <color indexed="64"/>
      </right>
      <top style="double">
        <color indexed="64"/>
      </top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double">
        <color indexed="64"/>
      </top>
      <bottom style="mediumDashed">
        <color indexed="64"/>
      </bottom>
      <diagonal/>
    </border>
    <border>
      <left style="mediumDashed">
        <color indexed="64"/>
      </left>
      <right style="double">
        <color indexed="64"/>
      </right>
      <top style="double">
        <color indexed="64"/>
      </top>
      <bottom style="mediumDashed">
        <color indexed="64"/>
      </bottom>
      <diagonal/>
    </border>
    <border>
      <left style="double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 style="double">
        <color indexed="64"/>
      </right>
      <top style="mediumDashed">
        <color indexed="64"/>
      </top>
      <bottom style="mediumDashed">
        <color indexed="64"/>
      </bottom>
      <diagonal/>
    </border>
    <border>
      <left style="double">
        <color indexed="64"/>
      </left>
      <right style="mediumDashed">
        <color indexed="64"/>
      </right>
      <top style="mediumDashed">
        <color indexed="64"/>
      </top>
      <bottom style="double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double">
        <color indexed="64"/>
      </bottom>
      <diagonal/>
    </border>
    <border>
      <left style="mediumDashed">
        <color indexed="64"/>
      </left>
      <right style="double">
        <color indexed="64"/>
      </right>
      <top style="mediumDashed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</cellStyleXfs>
  <cellXfs count="240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49" fontId="0" fillId="0" borderId="0" xfId="0" applyNumberFormat="1"/>
    <xf numFmtId="9" fontId="0" fillId="0" borderId="0" xfId="0" applyNumberFormat="1"/>
    <xf numFmtId="165" fontId="0" fillId="0" borderId="0" xfId="0" applyNumberFormat="1"/>
    <xf numFmtId="0" fontId="0" fillId="0" borderId="0" xfId="0" applyAlignment="1"/>
    <xf numFmtId="14" fontId="0" fillId="0" borderId="0" xfId="0" applyNumberFormat="1" applyAlignment="1">
      <alignment horizontal="center"/>
    </xf>
    <xf numFmtId="9" fontId="0" fillId="0" borderId="1" xfId="0" applyNumberFormat="1" applyBorder="1"/>
    <xf numFmtId="0" fontId="0" fillId="0" borderId="1" xfId="0" applyBorder="1"/>
    <xf numFmtId="10" fontId="0" fillId="0" borderId="1" xfId="0" applyNumberFormat="1" applyBorder="1"/>
    <xf numFmtId="166" fontId="0" fillId="0" borderId="1" xfId="2" applyNumberFormat="1" applyFont="1" applyBorder="1"/>
    <xf numFmtId="168" fontId="0" fillId="0" borderId="1" xfId="0" applyNumberFormat="1" applyBorder="1"/>
    <xf numFmtId="0" fontId="1" fillId="0" borderId="0" xfId="0" applyFont="1"/>
    <xf numFmtId="0" fontId="0" fillId="0" borderId="0" xfId="0" applyBorder="1"/>
    <xf numFmtId="10" fontId="0" fillId="0" borderId="0" xfId="0" applyNumberFormat="1" applyBorder="1"/>
    <xf numFmtId="0" fontId="0" fillId="4" borderId="6" xfId="0" applyFill="1" applyBorder="1"/>
    <xf numFmtId="169" fontId="0" fillId="0" borderId="0" xfId="0" applyNumberFormat="1" applyBorder="1" applyAlignment="1">
      <alignment horizontal="center"/>
    </xf>
    <xf numFmtId="0" fontId="0" fillId="3" borderId="0" xfId="0" applyFill="1" applyBorder="1"/>
    <xf numFmtId="0" fontId="0" fillId="0" borderId="7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3" borderId="9" xfId="0" applyFill="1" applyBorder="1"/>
    <xf numFmtId="0" fontId="0" fillId="5" borderId="9" xfId="0" applyFill="1" applyBorder="1" applyAlignment="1">
      <alignment horizontal="center"/>
    </xf>
    <xf numFmtId="0" fontId="0" fillId="4" borderId="9" xfId="0" applyFill="1" applyBorder="1"/>
    <xf numFmtId="10" fontId="0" fillId="5" borderId="9" xfId="0" applyNumberFormat="1" applyFill="1" applyBorder="1"/>
    <xf numFmtId="0" fontId="0" fillId="0" borderId="10" xfId="0" applyBorder="1"/>
    <xf numFmtId="0" fontId="0" fillId="0" borderId="3" xfId="0" applyBorder="1"/>
    <xf numFmtId="0" fontId="0" fillId="0" borderId="4" xfId="0" applyBorder="1"/>
    <xf numFmtId="0" fontId="0" fillId="6" borderId="2" xfId="0" applyFill="1" applyBorder="1"/>
    <xf numFmtId="0" fontId="0" fillId="6" borderId="15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6" fontId="0" fillId="0" borderId="4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166" fontId="0" fillId="0" borderId="0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0" fontId="1" fillId="0" borderId="9" xfId="0" applyFont="1" applyBorder="1" applyAlignment="1">
      <alignment horizontal="left"/>
    </xf>
    <xf numFmtId="0" fontId="0" fillId="0" borderId="9" xfId="0" applyBorder="1" applyAlignment="1">
      <alignment horizontal="left"/>
    </xf>
    <xf numFmtId="166" fontId="0" fillId="0" borderId="9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6" fontId="0" fillId="0" borderId="2" xfId="0" applyNumberFormat="1" applyBorder="1" applyAlignment="1">
      <alignment horizontal="right" vertical="center"/>
    </xf>
    <xf numFmtId="1" fontId="4" fillId="8" borderId="0" xfId="0" applyNumberFormat="1" applyFont="1" applyFill="1" applyAlignment="1">
      <alignment horizontal="center" vertical="center"/>
    </xf>
    <xf numFmtId="10" fontId="0" fillId="0" borderId="7" xfId="0" applyNumberFormat="1" applyBorder="1"/>
    <xf numFmtId="10" fontId="0" fillId="0" borderId="10" xfId="0" applyNumberFormat="1" applyBorder="1"/>
    <xf numFmtId="0" fontId="0" fillId="0" borderId="0" xfId="0" applyAlignment="1">
      <alignment horizontal="center" vertical="center"/>
    </xf>
    <xf numFmtId="0" fontId="0" fillId="6" borderId="18" xfId="0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9" borderId="11" xfId="0" applyFill="1" applyBorder="1" applyAlignment="1">
      <alignment horizontal="center" vertical="center"/>
    </xf>
    <xf numFmtId="0" fontId="1" fillId="9" borderId="12" xfId="0" applyFont="1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0" fontId="0" fillId="10" borderId="14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8" xfId="0" applyBorder="1"/>
    <xf numFmtId="0" fontId="0" fillId="0" borderId="27" xfId="0" applyBorder="1"/>
    <xf numFmtId="0" fontId="0" fillId="0" borderId="30" xfId="0" applyBorder="1"/>
    <xf numFmtId="0" fontId="0" fillId="0" borderId="33" xfId="0" applyBorder="1"/>
    <xf numFmtId="0" fontId="0" fillId="0" borderId="2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0" fillId="0" borderId="0" xfId="0" applyNumberFormat="1" applyBorder="1" applyAlignment="1">
      <alignment horizontal="center"/>
    </xf>
    <xf numFmtId="0" fontId="0" fillId="14" borderId="0" xfId="0" applyFill="1" applyAlignment="1">
      <alignment horizontal="left"/>
    </xf>
    <xf numFmtId="0" fontId="5" fillId="14" borderId="0" xfId="0" applyFont="1" applyFill="1" applyAlignment="1">
      <alignment horizontal="left" vertical="center"/>
    </xf>
    <xf numFmtId="14" fontId="0" fillId="14" borderId="0" xfId="0" applyNumberFormat="1" applyFill="1" applyAlignment="1">
      <alignment horizontal="center"/>
    </xf>
    <xf numFmtId="0" fontId="0" fillId="14" borderId="0" xfId="0" applyFill="1" applyAlignment="1">
      <alignment horizontal="center"/>
    </xf>
    <xf numFmtId="0" fontId="8" fillId="5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4" fontId="0" fillId="0" borderId="0" xfId="0" applyNumberForma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170" fontId="0" fillId="0" borderId="0" xfId="0" applyNumberFormat="1" applyAlignment="1">
      <alignment horizontal="right"/>
    </xf>
    <xf numFmtId="170" fontId="0" fillId="0" borderId="0" xfId="0" applyNumberFormat="1" applyBorder="1" applyAlignment="1">
      <alignment horizontal="right"/>
    </xf>
    <xf numFmtId="170" fontId="0" fillId="14" borderId="0" xfId="0" applyNumberFormat="1" applyFill="1" applyAlignment="1">
      <alignment horizontal="right"/>
    </xf>
    <xf numFmtId="0" fontId="8" fillId="5" borderId="0" xfId="0" applyFont="1" applyFill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14" borderId="0" xfId="0" applyFill="1" applyAlignment="1">
      <alignment horizontal="right" vertical="center"/>
    </xf>
    <xf numFmtId="0" fontId="7" fillId="0" borderId="37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49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49" fontId="10" fillId="16" borderId="0" xfId="0" applyNumberFormat="1" applyFont="1" applyFill="1"/>
    <xf numFmtId="0" fontId="10" fillId="16" borderId="0" xfId="0" applyFont="1" applyFill="1"/>
    <xf numFmtId="1" fontId="5" fillId="0" borderId="0" xfId="0" applyNumberFormat="1" applyFont="1" applyAlignment="1">
      <alignment horizontal="center"/>
    </xf>
    <xf numFmtId="9" fontId="5" fillId="0" borderId="0" xfId="0" applyNumberFormat="1" applyFont="1" applyAlignment="1">
      <alignment horizontal="center" vertical="center"/>
    </xf>
    <xf numFmtId="49" fontId="5" fillId="0" borderId="24" xfId="0" applyNumberFormat="1" applyFont="1" applyBorder="1"/>
    <xf numFmtId="0" fontId="0" fillId="0" borderId="24" xfId="0" applyBorder="1"/>
    <xf numFmtId="49" fontId="0" fillId="0" borderId="24" xfId="0" applyNumberFormat="1" applyBorder="1"/>
    <xf numFmtId="49" fontId="5" fillId="0" borderId="39" xfId="0" applyNumberFormat="1" applyFont="1" applyBorder="1"/>
    <xf numFmtId="49" fontId="0" fillId="0" borderId="39" xfId="0" applyNumberFormat="1" applyBorder="1"/>
    <xf numFmtId="0" fontId="0" fillId="0" borderId="39" xfId="0" applyBorder="1"/>
    <xf numFmtId="49" fontId="0" fillId="17" borderId="0" xfId="0" applyNumberFormat="1" applyFill="1"/>
    <xf numFmtId="0" fontId="0" fillId="17" borderId="0" xfId="0" applyFill="1"/>
    <xf numFmtId="0" fontId="1" fillId="17" borderId="0" xfId="0" applyFont="1" applyFill="1"/>
    <xf numFmtId="166" fontId="0" fillId="0" borderId="1" xfId="0" applyNumberFormat="1" applyBorder="1" applyAlignment="1">
      <alignment horizontal="right"/>
    </xf>
    <xf numFmtId="0" fontId="0" fillId="17" borderId="1" xfId="0" applyFill="1" applyBorder="1"/>
    <xf numFmtId="166" fontId="0" fillId="0" borderId="41" xfId="0" applyNumberFormat="1" applyBorder="1" applyAlignment="1">
      <alignment horizontal="center"/>
    </xf>
    <xf numFmtId="166" fontId="0" fillId="0" borderId="42" xfId="0" applyNumberFormat="1" applyBorder="1" applyAlignment="1">
      <alignment horizontal="center"/>
    </xf>
    <xf numFmtId="10" fontId="0" fillId="0" borderId="44" xfId="0" applyNumberFormat="1" applyBorder="1" applyAlignment="1">
      <alignment horizontal="left"/>
    </xf>
    <xf numFmtId="0" fontId="0" fillId="0" borderId="44" xfId="0" applyBorder="1"/>
    <xf numFmtId="166" fontId="0" fillId="0" borderId="44" xfId="0" applyNumberFormat="1" applyBorder="1" applyAlignment="1">
      <alignment horizontal="right" wrapText="1"/>
    </xf>
    <xf numFmtId="166" fontId="0" fillId="0" borderId="44" xfId="0" applyNumberFormat="1" applyBorder="1" applyAlignment="1">
      <alignment horizontal="center"/>
    </xf>
    <xf numFmtId="166" fontId="0" fillId="0" borderId="45" xfId="0" applyNumberFormat="1" applyBorder="1" applyAlignment="1">
      <alignment horizontal="center"/>
    </xf>
    <xf numFmtId="9" fontId="0" fillId="0" borderId="44" xfId="0" applyNumberFormat="1" applyBorder="1"/>
    <xf numFmtId="166" fontId="0" fillId="0" borderId="47" xfId="0" applyNumberFormat="1" applyBorder="1" applyAlignment="1">
      <alignment horizontal="center"/>
    </xf>
    <xf numFmtId="166" fontId="0" fillId="0" borderId="48" xfId="0" applyNumberFormat="1" applyBorder="1" applyAlignment="1">
      <alignment horizontal="center"/>
    </xf>
    <xf numFmtId="0" fontId="0" fillId="17" borderId="38" xfId="0" applyFill="1" applyBorder="1" applyAlignment="1">
      <alignment horizontal="center" vertical="center" wrapText="1"/>
    </xf>
    <xf numFmtId="0" fontId="0" fillId="0" borderId="49" xfId="0" applyBorder="1"/>
    <xf numFmtId="10" fontId="0" fillId="0" borderId="50" xfId="0" applyNumberFormat="1" applyBorder="1" applyAlignment="1">
      <alignment horizontal="left"/>
    </xf>
    <xf numFmtId="0" fontId="0" fillId="0" borderId="50" xfId="0" applyBorder="1"/>
    <xf numFmtId="166" fontId="0" fillId="0" borderId="50" xfId="0" applyNumberFormat="1" applyBorder="1" applyAlignment="1">
      <alignment horizontal="right" wrapText="1"/>
    </xf>
    <xf numFmtId="166" fontId="0" fillId="0" borderId="50" xfId="0" applyNumberFormat="1" applyBorder="1" applyAlignment="1">
      <alignment horizontal="center"/>
    </xf>
    <xf numFmtId="166" fontId="0" fillId="0" borderId="51" xfId="0" applyNumberFormat="1" applyBorder="1" applyAlignment="1">
      <alignment horizontal="center"/>
    </xf>
    <xf numFmtId="0" fontId="0" fillId="0" borderId="52" xfId="0" applyBorder="1"/>
    <xf numFmtId="166" fontId="0" fillId="0" borderId="53" xfId="0" applyNumberFormat="1" applyBorder="1" applyAlignment="1">
      <alignment horizontal="center"/>
    </xf>
    <xf numFmtId="0" fontId="0" fillId="0" borderId="54" xfId="0" applyBorder="1"/>
    <xf numFmtId="10" fontId="0" fillId="0" borderId="55" xfId="0" applyNumberFormat="1" applyBorder="1" applyAlignment="1">
      <alignment horizontal="left"/>
    </xf>
    <xf numFmtId="9" fontId="0" fillId="0" borderId="55" xfId="0" applyNumberFormat="1" applyBorder="1"/>
    <xf numFmtId="166" fontId="0" fillId="0" borderId="55" xfId="0" applyNumberFormat="1" applyBorder="1" applyAlignment="1">
      <alignment horizontal="right" wrapText="1"/>
    </xf>
    <xf numFmtId="166" fontId="0" fillId="0" borderId="55" xfId="0" applyNumberFormat="1" applyBorder="1" applyAlignment="1">
      <alignment horizontal="center"/>
    </xf>
    <xf numFmtId="166" fontId="0" fillId="0" borderId="56" xfId="0" applyNumberFormat="1" applyBorder="1" applyAlignment="1">
      <alignment horizontal="center"/>
    </xf>
    <xf numFmtId="9" fontId="0" fillId="17" borderId="40" xfId="0" applyNumberFormat="1" applyFill="1" applyBorder="1"/>
    <xf numFmtId="9" fontId="0" fillId="17" borderId="43" xfId="0" applyNumberFormat="1" applyFill="1" applyBorder="1"/>
    <xf numFmtId="166" fontId="1" fillId="0" borderId="44" xfId="0" applyNumberFormat="1" applyFont="1" applyBorder="1" applyAlignment="1">
      <alignment horizontal="center"/>
    </xf>
    <xf numFmtId="0" fontId="0" fillId="17" borderId="46" xfId="0" applyFill="1" applyBorder="1" applyAlignment="1">
      <alignment horizontal="center"/>
    </xf>
    <xf numFmtId="0" fontId="0" fillId="18" borderId="1" xfId="0" applyFill="1" applyBorder="1"/>
    <xf numFmtId="0" fontId="0" fillId="17" borderId="1" xfId="0" applyFill="1" applyBorder="1" applyAlignment="1"/>
    <xf numFmtId="0" fontId="0" fillId="0" borderId="0" xfId="0" applyBorder="1" applyAlignment="1"/>
    <xf numFmtId="0" fontId="9" fillId="19" borderId="0" xfId="0" applyFont="1" applyFill="1" applyBorder="1" applyAlignment="1">
      <alignment horizontal="center" vertical="top" wrapText="1"/>
    </xf>
    <xf numFmtId="0" fontId="0" fillId="19" borderId="0" xfId="0" applyFill="1" applyBorder="1" applyAlignment="1">
      <alignment horizontal="left"/>
    </xf>
    <xf numFmtId="0" fontId="0" fillId="19" borderId="0" xfId="0" applyFill="1" applyBorder="1" applyAlignment="1"/>
    <xf numFmtId="166" fontId="0" fillId="19" borderId="23" xfId="0" applyNumberFormat="1" applyFill="1" applyBorder="1" applyAlignment="1">
      <alignment horizontal="center"/>
    </xf>
    <xf numFmtId="166" fontId="0" fillId="19" borderId="24" xfId="0" applyNumberFormat="1" applyFill="1" applyBorder="1" applyAlignment="1">
      <alignment horizontal="center"/>
    </xf>
    <xf numFmtId="166" fontId="0" fillId="19" borderId="0" xfId="0" applyNumberFormat="1" applyFill="1" applyBorder="1" applyAlignment="1">
      <alignment horizontal="center"/>
    </xf>
    <xf numFmtId="0" fontId="0" fillId="17" borderId="1" xfId="0" applyFill="1" applyBorder="1" applyAlignment="1">
      <alignment wrapText="1"/>
    </xf>
    <xf numFmtId="0" fontId="0" fillId="19" borderId="24" xfId="0" applyFill="1" applyBorder="1" applyAlignment="1">
      <alignment horizontal="center" vertical="center"/>
    </xf>
    <xf numFmtId="0" fontId="0" fillId="19" borderId="0" xfId="0" applyFill="1" applyBorder="1" applyAlignment="1">
      <alignment horizontal="center" vertical="center"/>
    </xf>
    <xf numFmtId="0" fontId="9" fillId="19" borderId="0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61" xfId="0" applyBorder="1"/>
    <xf numFmtId="0" fontId="0" fillId="0" borderId="57" xfId="0" applyBorder="1"/>
    <xf numFmtId="9" fontId="0" fillId="0" borderId="62" xfId="0" applyNumberFormat="1" applyBorder="1"/>
    <xf numFmtId="9" fontId="0" fillId="0" borderId="58" xfId="0" applyNumberFormat="1" applyBorder="1"/>
    <xf numFmtId="0" fontId="1" fillId="0" borderId="59" xfId="0" applyFont="1" applyBorder="1"/>
    <xf numFmtId="0" fontId="1" fillId="0" borderId="60" xfId="0" applyFont="1" applyBorder="1"/>
    <xf numFmtId="170" fontId="0" fillId="0" borderId="0" xfId="0" applyNumberFormat="1" applyAlignment="1">
      <alignment horizontal="center"/>
    </xf>
    <xf numFmtId="0" fontId="9" fillId="0" borderId="63" xfId="3" applyFont="1" applyBorder="1" applyAlignment="1">
      <alignment wrapText="1"/>
    </xf>
    <xf numFmtId="0" fontId="9" fillId="0" borderId="57" xfId="3" applyFont="1" applyBorder="1" applyAlignment="1">
      <alignment shrinkToFit="1"/>
    </xf>
    <xf numFmtId="0" fontId="12" fillId="0" borderId="64" xfId="3" applyBorder="1"/>
    <xf numFmtId="166" fontId="12" fillId="0" borderId="65" xfId="3" applyNumberFormat="1" applyBorder="1"/>
    <xf numFmtId="0" fontId="12" fillId="0" borderId="66" xfId="3" applyBorder="1"/>
    <xf numFmtId="166" fontId="12" fillId="0" borderId="58" xfId="3" applyNumberFormat="1" applyBorder="1"/>
    <xf numFmtId="0" fontId="5" fillId="0" borderId="0" xfId="3" applyFont="1" applyFill="1" applyBorder="1" applyAlignment="1">
      <alignment wrapText="1"/>
    </xf>
    <xf numFmtId="0" fontId="0" fillId="0" borderId="0" xfId="0" applyFill="1" applyBorder="1"/>
    <xf numFmtId="0" fontId="12" fillId="0" borderId="0" xfId="3" applyFill="1" applyBorder="1"/>
    <xf numFmtId="14" fontId="12" fillId="0" borderId="0" xfId="3" applyNumberFormat="1" applyFill="1" applyBorder="1"/>
    <xf numFmtId="166" fontId="12" fillId="0" borderId="0" xfId="3" applyNumberFormat="1" applyFill="1" applyBorder="1" applyAlignment="1">
      <alignment horizontal="center"/>
    </xf>
    <xf numFmtId="0" fontId="12" fillId="0" borderId="0" xfId="3" applyNumberFormat="1" applyFill="1" applyBorder="1" applyAlignment="1">
      <alignment horizontal="center"/>
    </xf>
    <xf numFmtId="9" fontId="12" fillId="0" borderId="0" xfId="4" applyFont="1" applyFill="1" applyBorder="1"/>
    <xf numFmtId="0" fontId="12" fillId="0" borderId="0" xfId="3" applyFill="1" applyBorder="1" applyAlignment="1">
      <alignment horizontal="center"/>
    </xf>
    <xf numFmtId="0" fontId="9" fillId="0" borderId="0" xfId="3" applyFont="1" applyFill="1" applyBorder="1" applyAlignment="1">
      <alignment wrapText="1"/>
    </xf>
    <xf numFmtId="0" fontId="9" fillId="0" borderId="0" xfId="3" applyFont="1" applyFill="1" applyBorder="1" applyAlignment="1">
      <alignment shrinkToFit="1"/>
    </xf>
    <xf numFmtId="166" fontId="12" fillId="0" borderId="0" xfId="3" applyNumberFormat="1" applyFill="1" applyBorder="1"/>
    <xf numFmtId="9" fontId="12" fillId="0" borderId="0" xfId="3" applyNumberFormat="1" applyFill="1" applyBorder="1"/>
    <xf numFmtId="166" fontId="0" fillId="0" borderId="0" xfId="0" applyNumberFormat="1" applyAlignment="1">
      <alignment horizontal="center"/>
    </xf>
    <xf numFmtId="0" fontId="0" fillId="20" borderId="0" xfId="0" applyFill="1"/>
    <xf numFmtId="0" fontId="0" fillId="0" borderId="4" xfId="0" applyBorder="1" applyAlignment="1">
      <alignment horizontal="center"/>
    </xf>
    <xf numFmtId="170" fontId="0" fillId="0" borderId="5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70" fontId="0" fillId="0" borderId="7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70" fontId="0" fillId="0" borderId="10" xfId="0" applyNumberFormat="1" applyBorder="1" applyAlignment="1">
      <alignment horizontal="center"/>
    </xf>
    <xf numFmtId="0" fontId="0" fillId="20" borderId="0" xfId="0" applyFill="1" applyBorder="1"/>
    <xf numFmtId="0" fontId="0" fillId="20" borderId="9" xfId="0" applyFill="1" applyBorder="1" applyAlignment="1">
      <alignment horizontal="center" vertical="center" wrapText="1"/>
    </xf>
    <xf numFmtId="0" fontId="0" fillId="20" borderId="10" xfId="0" applyFill="1" applyBorder="1" applyAlignment="1">
      <alignment horizontal="center" vertical="center" wrapText="1"/>
    </xf>
    <xf numFmtId="0" fontId="0" fillId="0" borderId="3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8" xfId="0" applyBorder="1" applyAlignment="1">
      <alignment horizontal="right"/>
    </xf>
    <xf numFmtId="14" fontId="0" fillId="0" borderId="4" xfId="0" applyNumberFormat="1" applyBorder="1" applyAlignment="1">
      <alignment horizontal="right"/>
    </xf>
    <xf numFmtId="14" fontId="0" fillId="0" borderId="0" xfId="0" applyNumberFormat="1" applyBorder="1" applyAlignment="1">
      <alignment horizontal="right"/>
    </xf>
    <xf numFmtId="14" fontId="0" fillId="0" borderId="9" xfId="0" applyNumberFormat="1" applyBorder="1" applyAlignment="1">
      <alignment horizontal="right"/>
    </xf>
    <xf numFmtId="170" fontId="0" fillId="0" borderId="4" xfId="0" applyNumberFormat="1" applyBorder="1" applyAlignment="1">
      <alignment horizontal="right"/>
    </xf>
    <xf numFmtId="170" fontId="0" fillId="0" borderId="9" xfId="0" applyNumberFormat="1" applyBorder="1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6" fontId="0" fillId="0" borderId="4" xfId="0" applyNumberForma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166" fontId="0" fillId="0" borderId="9" xfId="0" applyNumberFormat="1" applyBorder="1" applyAlignment="1">
      <alignment horizontal="right"/>
    </xf>
    <xf numFmtId="0" fontId="5" fillId="20" borderId="0" xfId="0" applyFont="1" applyFill="1"/>
    <xf numFmtId="0" fontId="0" fillId="0" borderId="0" xfId="0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12" borderId="1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7" borderId="2" xfId="0" applyFill="1" applyBorder="1" applyAlignment="1">
      <alignment horizontal="left" vertical="center"/>
    </xf>
    <xf numFmtId="0" fontId="5" fillId="11" borderId="22" xfId="0" applyFont="1" applyFill="1" applyBorder="1" applyAlignment="1">
      <alignment horizontal="center" vertical="center"/>
    </xf>
    <xf numFmtId="0" fontId="5" fillId="11" borderId="13" xfId="0" applyFont="1" applyFill="1" applyBorder="1" applyAlignment="1">
      <alignment horizontal="center" vertical="center"/>
    </xf>
    <xf numFmtId="0" fontId="5" fillId="11" borderId="14" xfId="0" applyFont="1" applyFill="1" applyBorder="1" applyAlignment="1">
      <alignment horizontal="center" vertical="center"/>
    </xf>
    <xf numFmtId="0" fontId="8" fillId="15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13" borderId="0" xfId="0" applyFont="1" applyFill="1" applyAlignment="1">
      <alignment horizontal="center"/>
    </xf>
    <xf numFmtId="0" fontId="6" fillId="13" borderId="0" xfId="0" applyFont="1" applyFill="1" applyAlignment="1">
      <alignment horizontal="right"/>
    </xf>
    <xf numFmtId="0" fontId="0" fillId="17" borderId="23" xfId="0" applyFill="1" applyBorder="1" applyAlignment="1">
      <alignment horizontal="center" vertical="center"/>
    </xf>
    <xf numFmtId="0" fontId="0" fillId="17" borderId="24" xfId="0" applyFill="1" applyBorder="1" applyAlignment="1">
      <alignment horizontal="center" vertical="center"/>
    </xf>
    <xf numFmtId="0" fontId="0" fillId="17" borderId="25" xfId="0" applyFill="1" applyBorder="1" applyAlignment="1">
      <alignment horizontal="center" vertical="center"/>
    </xf>
    <xf numFmtId="0" fontId="12" fillId="0" borderId="0" xfId="3" applyFill="1" applyBorder="1" applyAlignment="1">
      <alignment horizontal="center"/>
    </xf>
    <xf numFmtId="0" fontId="13" fillId="21" borderId="0" xfId="0" applyFont="1" applyFill="1" applyBorder="1" applyAlignment="1">
      <alignment horizontal="center" vertical="center"/>
    </xf>
    <xf numFmtId="0" fontId="13" fillId="21" borderId="7" xfId="0" applyFont="1" applyFill="1" applyBorder="1" applyAlignment="1">
      <alignment horizontal="center" vertical="center"/>
    </xf>
    <xf numFmtId="0" fontId="7" fillId="22" borderId="0" xfId="0" applyFont="1" applyFill="1" applyBorder="1" applyAlignment="1">
      <alignment horizontal="center" vertical="center"/>
    </xf>
    <xf numFmtId="0" fontId="7" fillId="22" borderId="7" xfId="0" applyFont="1" applyFill="1" applyBorder="1" applyAlignment="1">
      <alignment horizontal="center" vertical="center"/>
    </xf>
  </cellXfs>
  <cellStyles count="5">
    <cellStyle name="Euro" xfId="1"/>
    <cellStyle name="Moneda" xfId="2" builtinId="4"/>
    <cellStyle name="Normal" xfId="0" builtinId="0"/>
    <cellStyle name="Normal 2" xfId="3"/>
    <cellStyle name="Porcentual 2" xfId="4"/>
  </cellStyles>
  <dxfs count="3">
    <dxf>
      <font>
        <color auto="1"/>
      </font>
      <fill>
        <patternFill>
          <bgColor rgb="FF00B050"/>
        </patternFill>
      </fill>
    </dxf>
    <dxf>
      <fill>
        <patternFill>
          <bgColor rgb="FFFFFF19"/>
        </patternFill>
      </fill>
    </dxf>
    <dxf>
      <fill>
        <patternFill>
          <bgColor rgb="FFFF1111"/>
        </patternFill>
      </fill>
    </dxf>
  </dxfs>
  <tableStyles count="0" defaultTableStyle="TableStyleMedium9" defaultPivotStyle="PivotStyleLight16"/>
  <colors>
    <mruColors>
      <color rgb="FFFFC819"/>
      <color rgb="FFF57B17"/>
      <color rgb="FFFF9933"/>
      <color rgb="FFFF9900"/>
      <color rgb="FFF7903B"/>
      <color rgb="FFFFFF43"/>
      <color rgb="FFFFFF65"/>
      <color rgb="FFFFFF19"/>
      <color rgb="FFFFFF00"/>
      <color rgb="FFFFFF5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u="sng"/>
              <a:t>Cantidad</a:t>
            </a:r>
            <a:r>
              <a:rPr lang="es-ES" u="sng" baseline="0"/>
              <a:t> de unidades de cada producto</a:t>
            </a:r>
            <a:endParaRPr lang="es-ES" u="sng"/>
          </a:p>
        </c:rich>
      </c:tx>
      <c:layout>
        <c:manualLayout>
          <c:xMode val="edge"/>
          <c:yMode val="edge"/>
          <c:x val="0.32771030739801654"/>
          <c:y val="1.8058690744920992E-2"/>
        </c:manualLayout>
      </c:layout>
    </c:title>
    <c:view3D>
      <c:depthPercent val="100"/>
      <c:rAngAx val="1"/>
    </c:view3D>
    <c:floor>
      <c:spPr>
        <a:solidFill>
          <a:srgbClr val="4F81BD"/>
        </a:solidFill>
      </c:spPr>
    </c:floor>
    <c:sideWall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2700000" scaled="0"/>
        </a:gradFill>
        <a:ln>
          <a:solidFill>
            <a:srgbClr val="000000"/>
          </a:solidFill>
        </a:ln>
        <a:effectLst>
          <a:outerShdw blurRad="50800" dist="50800" dir="5400000" algn="ctr" rotWithShape="0">
            <a:schemeClr val="tx1"/>
          </a:outerShdw>
        </a:effectLst>
        <a:scene3d>
          <a:camera prst="orthographicFront"/>
          <a:lightRig rig="threePt" dir="t"/>
        </a:scene3d>
        <a:sp3d prstMaterial="metal"/>
      </c:spPr>
    </c:sideWall>
    <c:backWall>
      <c:spPr>
        <a:solidFill>
          <a:schemeClr val="bg1">
            <a:lumMod val="85000"/>
          </a:schemeClr>
        </a:solidFill>
        <a:ln>
          <a:solidFill>
            <a:srgbClr val="000000"/>
          </a:solidFill>
        </a:ln>
        <a:effectLst>
          <a:outerShdw blurRad="50800" dist="50800" dir="5400000" algn="ctr" rotWithShape="0">
            <a:schemeClr val="tx1"/>
          </a:outerShdw>
        </a:effectLst>
        <a:scene3d>
          <a:camera prst="orthographicFront"/>
          <a:lightRig rig="threePt" dir="t"/>
        </a:scene3d>
        <a:sp3d prstMaterial="metal"/>
      </c:spPr>
    </c:backWall>
    <c:plotArea>
      <c:layout/>
      <c:bar3DChart>
        <c:barDir val="bar"/>
        <c:grouping val="clustered"/>
        <c:ser>
          <c:idx val="0"/>
          <c:order val="0"/>
          <c:spPr>
            <a:gradFill>
              <a:gsLst>
                <a:gs pos="0">
                  <a:srgbClr val="DCEBF5"/>
                </a:gs>
                <a:gs pos="8000">
                  <a:srgbClr val="83A7C3"/>
                </a:gs>
                <a:gs pos="13000">
                  <a:srgbClr val="768FB9"/>
                </a:gs>
                <a:gs pos="21001">
                  <a:srgbClr val="83A7C3"/>
                </a:gs>
                <a:gs pos="52000">
                  <a:srgbClr val="FFFFFF"/>
                </a:gs>
                <a:gs pos="56000">
                  <a:srgbClr val="9C6563"/>
                </a:gs>
                <a:gs pos="58000">
                  <a:srgbClr val="80302D"/>
                </a:gs>
                <a:gs pos="71001">
                  <a:srgbClr val="C0524E"/>
                </a:gs>
                <a:gs pos="94000">
                  <a:srgbClr val="EBDAD4"/>
                </a:gs>
                <a:gs pos="100000">
                  <a:srgbClr val="55261C"/>
                </a:gs>
              </a:gsLst>
              <a:lin ang="2700000" scaled="0"/>
            </a:gradFill>
          </c:spPr>
          <c:cat>
            <c:strRef>
              <c:f>'Ejercicio 1'!$C$10:$C$16</c:f>
              <c:strCache>
                <c:ptCount val="7"/>
                <c:pt idx="0">
                  <c:v>Jabón "Shock"</c:v>
                </c:pt>
                <c:pt idx="1">
                  <c:v>Lomo</c:v>
                </c:pt>
                <c:pt idx="2">
                  <c:v>Sopa "Nor Suecia"</c:v>
                </c:pt>
                <c:pt idx="3">
                  <c:v>Colonia "Y2K"</c:v>
                </c:pt>
                <c:pt idx="4">
                  <c:v>Jugo "Hugo"</c:v>
                </c:pt>
                <c:pt idx="5">
                  <c:v>Atún "Tun"</c:v>
                </c:pt>
                <c:pt idx="6">
                  <c:v>Yerba "Yuyito"</c:v>
                </c:pt>
              </c:strCache>
            </c:strRef>
          </c:cat>
          <c:val>
            <c:numRef>
              <c:f>'Ejercicio 1'!$D$10:$D$16</c:f>
              <c:numCache>
                <c:formatCode>General</c:formatCode>
                <c:ptCount val="7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5</c:v>
                </c:pt>
                <c:pt idx="4">
                  <c:v>2</c:v>
                </c:pt>
                <c:pt idx="5">
                  <c:v>8</c:v>
                </c:pt>
                <c:pt idx="6">
                  <c:v>4</c:v>
                </c:pt>
              </c:numCache>
            </c:numRef>
          </c:val>
        </c:ser>
        <c:gapWidth val="75"/>
        <c:shape val="box"/>
        <c:axId val="61931904"/>
        <c:axId val="61933440"/>
        <c:axId val="0"/>
      </c:bar3DChart>
      <c:catAx>
        <c:axId val="61931904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400"/>
            </a:pPr>
            <a:endParaRPr lang="es-ES"/>
          </a:p>
        </c:txPr>
        <c:crossAx val="61933440"/>
        <c:crosses val="autoZero"/>
        <c:auto val="1"/>
        <c:lblAlgn val="ctr"/>
        <c:lblOffset val="100"/>
      </c:catAx>
      <c:valAx>
        <c:axId val="61933440"/>
        <c:scaling>
          <c:orientation val="minMax"/>
        </c:scaling>
        <c:axPos val="b"/>
        <c:majorGridlines>
          <c:spPr>
            <a:ln>
              <a:solidFill>
                <a:srgbClr val="000000"/>
              </a:solidFill>
            </a:ln>
          </c:spPr>
        </c:majorGridlines>
        <c:numFmt formatCode="General" sourceLinked="1"/>
        <c:majorTickMark val="none"/>
        <c:tickLblPos val="low"/>
        <c:spPr>
          <a:noFill/>
          <a:ln w="9525">
            <a:noFill/>
          </a:ln>
        </c:spPr>
        <c:txPr>
          <a:bodyPr/>
          <a:lstStyle/>
          <a:p>
            <a:pPr>
              <a:defRPr sz="1400"/>
            </a:pPr>
            <a:endParaRPr lang="es-ES"/>
          </a:p>
        </c:txPr>
        <c:crossAx val="61931904"/>
        <c:crosses val="autoZero"/>
        <c:crossBetween val="between"/>
      </c:valAx>
    </c:plotArea>
    <c:plotVisOnly val="1"/>
  </c:chart>
  <c:spPr>
    <a:gradFill>
      <a:gsLst>
        <a:gs pos="0">
          <a:srgbClr val="3399FF"/>
        </a:gs>
        <a:gs pos="16000">
          <a:srgbClr val="00CCCC"/>
        </a:gs>
        <a:gs pos="47000">
          <a:srgbClr val="9999FF"/>
        </a:gs>
        <a:gs pos="60001">
          <a:srgbClr val="2E6792"/>
        </a:gs>
        <a:gs pos="71001">
          <a:srgbClr val="3333CC"/>
        </a:gs>
        <a:gs pos="81000">
          <a:srgbClr val="1170FF"/>
        </a:gs>
        <a:gs pos="100000">
          <a:srgbClr val="006699"/>
        </a:gs>
      </a:gsLst>
      <a:lin ang="2700000" scaled="0"/>
    </a:gradFill>
    <a:ln>
      <a:solidFill>
        <a:srgbClr val="000000"/>
      </a:solidFill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/>
              <a:t>Participación</a:t>
            </a:r>
            <a:r>
              <a:rPr lang="es-ES" baseline="0"/>
              <a:t> del IVA en venta final</a:t>
            </a:r>
            <a:endParaRPr lang="es-ES"/>
          </a:p>
        </c:rich>
      </c:tx>
      <c:layout/>
    </c:title>
    <c:view3D>
      <c:rotX val="20"/>
      <c:rotY val="312"/>
      <c:depthPercent val="100"/>
      <c:rAngAx val="1"/>
    </c:view3D>
    <c:plotArea>
      <c:layout>
        <c:manualLayout>
          <c:layoutTarget val="inner"/>
          <c:xMode val="edge"/>
          <c:yMode val="edge"/>
          <c:x val="0.11422547677456314"/>
          <c:y val="0.19978570626638378"/>
          <c:w val="0.80258057007751449"/>
          <c:h val="0.71837126715863164"/>
        </c:manualLayout>
      </c:layout>
      <c:pie3DChart>
        <c:varyColors val="1"/>
        <c:ser>
          <c:idx val="0"/>
          <c:order val="0"/>
          <c:tx>
            <c:v>TOTAL</c:v>
          </c:tx>
          <c:spPr>
            <a:ln>
              <a:noFill/>
            </a:ln>
            <a:scene3d>
              <a:camera prst="orthographicFront"/>
              <a:lightRig rig="threePt" dir="t"/>
            </a:scene3d>
            <a:sp3d prstMaterial="matte"/>
          </c:spPr>
          <c:explosion val="25"/>
          <c:dPt>
            <c:idx val="0"/>
            <c:explosion val="15"/>
          </c:dPt>
          <c:dPt>
            <c:idx val="1"/>
            <c:explosion val="29"/>
          </c:dPt>
          <c:dLbls>
            <c:dLbl>
              <c:idx val="0"/>
              <c:layout>
                <c:manualLayout>
                  <c:x val="3.1485282542716049E-2"/>
                  <c:y val="-0.10051511371105659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100" b="1"/>
                      <a:t>Total
$ 173,83
76%</a:t>
                    </a:r>
                  </a:p>
                </c:rich>
              </c:tx>
              <c:spPr>
                <a:noFill/>
                <a:ln>
                  <a:noFill/>
                </a:ln>
              </c:spPr>
              <c:showPercent val="1"/>
            </c:dLbl>
            <c:dLbl>
              <c:idx val="1"/>
              <c:layout>
                <c:manualLayout>
                  <c:x val="-2.3184336497027742E-2"/>
                  <c:y val="-0.27504922200474147"/>
                </c:manualLayout>
              </c:layout>
              <c:tx>
                <c:rich>
                  <a:bodyPr/>
                  <a:lstStyle/>
                  <a:p>
                    <a:r>
                      <a:rPr lang="en-US" sz="1100" b="1"/>
                      <a:t>IVA</a:t>
                    </a:r>
                  </a:p>
                  <a:p>
                    <a:r>
                      <a:rPr lang="en-US" sz="1100" b="1"/>
                      <a:t>$ 54,76</a:t>
                    </a:r>
                  </a:p>
                  <a:p>
                    <a:r>
                      <a:rPr lang="en-US" sz="1100" b="1"/>
                      <a:t> 24%</a:t>
                    </a:r>
                  </a:p>
                </c:rich>
              </c:tx>
              <c:showPercent val="1"/>
            </c:dLbl>
            <c:showPercent val="1"/>
            <c:showLeaderLines val="1"/>
          </c:dLbls>
          <c:val>
            <c:numRef>
              <c:f>'Ejercicio 1'!$H$17:$I$17</c:f>
              <c:numCache>
                <c:formatCode>[$$-2C0A]\ #,##0.00</c:formatCode>
                <c:ptCount val="2"/>
                <c:pt idx="0">
                  <c:v>173.82999999999998</c:v>
                </c:pt>
                <c:pt idx="1">
                  <c:v>54.756450000000001</c:v>
                </c:pt>
              </c:numCache>
            </c:numRef>
          </c:val>
        </c:ser>
        <c:ser>
          <c:idx val="1"/>
          <c:order val="1"/>
          <c:tx>
            <c:v>IVA</c:v>
          </c:tx>
          <c:dLbls>
            <c:showPercent val="1"/>
            <c:showLeaderLines val="1"/>
          </c:dLbls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Percent val="1"/>
        </c:dLbls>
      </c:pie3DChart>
      <c:spPr>
        <a:blipFill>
          <a:blip xmlns:r="http://schemas.openxmlformats.org/officeDocument/2006/relationships" r:embed="rId1"/>
          <a:tile tx="0" ty="0" sx="100000" sy="100000" flip="none" algn="tl"/>
        </a:blipFill>
      </c:spPr>
    </c:plotArea>
    <c:plotVisOnly val="1"/>
  </c:chart>
  <c:spPr>
    <a:blipFill>
      <a:blip xmlns:r="http://schemas.openxmlformats.org/officeDocument/2006/relationships" r:embed="rId1"/>
      <a:tile tx="0" ty="0" sx="100000" sy="100000" flip="none" algn="tl"/>
    </a:blipFill>
    <a:ln>
      <a:solidFill>
        <a:srgbClr val="000000"/>
      </a:solidFill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000" b="1" u="none"/>
            </a:pPr>
            <a:r>
              <a:rPr lang="es-ES" sz="2000" b="1" u="none"/>
              <a:t>Inscriptos</a:t>
            </a:r>
            <a:r>
              <a:rPr lang="es-ES" sz="2000" b="1" u="none" baseline="0"/>
              <a:t> de cada Facultad</a:t>
            </a:r>
            <a:endParaRPr lang="es-ES" sz="2000" b="1" u="none"/>
          </a:p>
        </c:rich>
      </c:tx>
      <c:layout>
        <c:manualLayout>
          <c:xMode val="edge"/>
          <c:yMode val="edge"/>
          <c:x val="0.27403511973461137"/>
          <c:y val="2.7141645462256201E-2"/>
        </c:manualLayout>
      </c:layout>
    </c:title>
    <c:view3D>
      <c:rotX val="20"/>
      <c:hPercent val="100"/>
      <c:rotY val="50"/>
      <c:depthPercent val="100"/>
      <c:rAngAx val="1"/>
    </c:view3D>
    <c:plotArea>
      <c:layout>
        <c:manualLayout>
          <c:layoutTarget val="inner"/>
          <c:xMode val="edge"/>
          <c:yMode val="edge"/>
          <c:x val="6.8569653376029063E-2"/>
          <c:y val="0.2194847130595162"/>
          <c:w val="0.83048841201374923"/>
          <c:h val="0.62359764488898362"/>
        </c:manualLayout>
      </c:layout>
      <c:pie3DChart>
        <c:varyColors val="1"/>
        <c:ser>
          <c:idx val="0"/>
          <c:order val="0"/>
          <c:explosion val="21"/>
          <c:dLbls>
            <c:dLbl>
              <c:idx val="0"/>
              <c:layout>
                <c:manualLayout>
                  <c:x val="9.5152525649523048E-2"/>
                  <c:y val="2.2786426505847075E-2"/>
                </c:manualLayout>
              </c:layout>
              <c:tx>
                <c:rich>
                  <a:bodyPr/>
                  <a:lstStyle/>
                  <a:p>
                    <a:r>
                      <a:rPr lang="en-US" sz="1100" b="1"/>
                      <a:t>3</a:t>
                    </a:r>
                    <a:r>
                      <a:rPr lang="en-US"/>
                      <a:t>44</a:t>
                    </a:r>
                  </a:p>
                  <a:p>
                    <a:r>
                      <a:rPr lang="en-US"/>
                      <a:t> 48%</a:t>
                    </a:r>
                  </a:p>
                </c:rich>
              </c:tx>
              <c:showPercent val="1"/>
            </c:dLbl>
            <c:dLbl>
              <c:idx val="1"/>
              <c:layout>
                <c:manualLayout>
                  <c:x val="-2.180099648258596E-2"/>
                  <c:y val="-0.15039677292246884"/>
                </c:manualLayout>
              </c:layout>
              <c:tx>
                <c:rich>
                  <a:bodyPr/>
                  <a:lstStyle/>
                  <a:p>
                    <a:r>
                      <a:rPr lang="en-US" sz="1100" b="1"/>
                      <a:t>2</a:t>
                    </a:r>
                    <a:r>
                      <a:rPr lang="en-US" sz="1050" b="1"/>
                      <a:t>06</a:t>
                    </a:r>
                  </a:p>
                  <a:p>
                    <a:r>
                      <a:rPr lang="en-US" sz="1050" b="1"/>
                      <a:t> 28%</a:t>
                    </a:r>
                  </a:p>
                </c:rich>
              </c:tx>
              <c:showPercent val="1"/>
            </c:dLbl>
            <c:dLbl>
              <c:idx val="2"/>
              <c:layout>
                <c:manualLayout>
                  <c:x val="0.23394728214376123"/>
                  <c:y val="-2.8628558834725797E-2"/>
                </c:manualLayout>
              </c:layout>
              <c:tx>
                <c:rich>
                  <a:bodyPr/>
                  <a:lstStyle/>
                  <a:p>
                    <a:r>
                      <a:rPr lang="en-US" sz="1100" b="1"/>
                      <a:t>1</a:t>
                    </a:r>
                    <a:r>
                      <a:rPr lang="en-US"/>
                      <a:t>73</a:t>
                    </a:r>
                  </a:p>
                  <a:p>
                    <a:r>
                      <a:rPr lang="en-US"/>
                      <a:t> 24%</a:t>
                    </a:r>
                  </a:p>
                </c:rich>
              </c:tx>
              <c:showPercent val="1"/>
            </c:dLbl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</c:spPr>
            <c:txPr>
              <a:bodyPr/>
              <a:lstStyle/>
              <a:p>
                <a:pPr>
                  <a:defRPr sz="1100" b="1"/>
                </a:pPr>
                <a:endParaRPr lang="es-ES"/>
              </a:p>
            </c:txPr>
            <c:showPercent val="1"/>
            <c:showLeaderLines val="1"/>
          </c:dLbls>
          <c:cat>
            <c:strRef>
              <c:f>('Ejercicio 2'!$C$9,'Ejercicio 2'!$C$13,'Ejercicio 2'!$C$16)</c:f>
              <c:strCache>
                <c:ptCount val="3"/>
                <c:pt idx="0">
                  <c:v>Total Cs.Económicas</c:v>
                </c:pt>
                <c:pt idx="1">
                  <c:v>Total Derecho</c:v>
                </c:pt>
                <c:pt idx="2">
                  <c:v>Total Ingeniería</c:v>
                </c:pt>
              </c:strCache>
            </c:strRef>
          </c:cat>
          <c:val>
            <c:numRef>
              <c:f>('Ejercicio 2'!$E$9,'Ejercicio 2'!$E$13,'Ejercicio 2'!$E$16)</c:f>
              <c:numCache>
                <c:formatCode>General</c:formatCode>
                <c:ptCount val="3"/>
                <c:pt idx="0">
                  <c:v>344</c:v>
                </c:pt>
                <c:pt idx="1">
                  <c:v>206</c:v>
                </c:pt>
                <c:pt idx="2">
                  <c:v>173</c:v>
                </c:pt>
              </c:numCache>
            </c:numRef>
          </c:val>
        </c:ser>
        <c:dLbls>
          <c:showPercent val="1"/>
        </c:dLbls>
      </c:pie3DChart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6.7280497373336773E-2"/>
          <c:y val="0.90049485706178689"/>
          <c:w val="0.83913652675054451"/>
          <c:h val="6.3469106902177774E-2"/>
        </c:manualLayout>
      </c:layout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1050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</c:chart>
  <c:spPr>
    <a:ln>
      <a:solidFill>
        <a:sysClr val="windowText" lastClr="000000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/>
            </a:pPr>
            <a:r>
              <a:rPr lang="es-ES" sz="2400"/>
              <a:t>Sueldos</a:t>
            </a:r>
            <a:r>
              <a:rPr lang="es-ES" sz="2400" baseline="0"/>
              <a:t> de Empleados</a:t>
            </a:r>
            <a:endParaRPr lang="es-ES" sz="2400"/>
          </a:p>
        </c:rich>
      </c:tx>
      <c:layout>
        <c:manualLayout>
          <c:xMode val="edge"/>
          <c:yMode val="edge"/>
          <c:x val="0.34790996363549798"/>
          <c:y val="3.1007750419604657E-2"/>
        </c:manualLayout>
      </c:layout>
    </c:title>
    <c:view3D>
      <c:rAngAx val="1"/>
    </c:view3D>
    <c:plotArea>
      <c:layout>
        <c:manualLayout>
          <c:layoutTarget val="inner"/>
          <c:xMode val="edge"/>
          <c:yMode val="edge"/>
          <c:x val="6.3357318430434309E-2"/>
          <c:y val="1.8256352439308881E-2"/>
          <c:w val="0.923037239392695"/>
          <c:h val="0.87469045663381662"/>
        </c:manualLayout>
      </c:layout>
      <c:bar3DChart>
        <c:barDir val="col"/>
        <c:grouping val="standard"/>
        <c:ser>
          <c:idx val="0"/>
          <c:order val="0"/>
          <c:cat>
            <c:strRef>
              <c:f>'Ejercicio 6'!$B$9:$B$25</c:f>
              <c:strCache>
                <c:ptCount val="17"/>
                <c:pt idx="0">
                  <c:v>Calleja</c:v>
                </c:pt>
                <c:pt idx="1">
                  <c:v>Magno</c:v>
                </c:pt>
                <c:pt idx="2">
                  <c:v>Fuentes</c:v>
                </c:pt>
                <c:pt idx="3">
                  <c:v>Hernández</c:v>
                </c:pt>
                <c:pt idx="4">
                  <c:v>Vergara</c:v>
                </c:pt>
                <c:pt idx="5">
                  <c:v>Diaz</c:v>
                </c:pt>
                <c:pt idx="6">
                  <c:v>Pacheco</c:v>
                </c:pt>
                <c:pt idx="7">
                  <c:v>Reglez</c:v>
                </c:pt>
                <c:pt idx="8">
                  <c:v>Alcalde</c:v>
                </c:pt>
                <c:pt idx="9">
                  <c:v>Usero</c:v>
                </c:pt>
                <c:pt idx="10">
                  <c:v>Yuste</c:v>
                </c:pt>
                <c:pt idx="11">
                  <c:v>Martínez</c:v>
                </c:pt>
                <c:pt idx="12">
                  <c:v>Alonso</c:v>
                </c:pt>
                <c:pt idx="13">
                  <c:v>Salas</c:v>
                </c:pt>
                <c:pt idx="14">
                  <c:v>Calvillo</c:v>
                </c:pt>
                <c:pt idx="15">
                  <c:v>Bermejo</c:v>
                </c:pt>
                <c:pt idx="16">
                  <c:v>Ramallo</c:v>
                </c:pt>
              </c:strCache>
            </c:strRef>
          </c:cat>
          <c:val>
            <c:numRef>
              <c:f>'Ejercicio 6'!$K$9:$K$25</c:f>
              <c:numCache>
                <c:formatCode>[$$-2C0A]\ #,##0</c:formatCode>
                <c:ptCount val="17"/>
                <c:pt idx="0">
                  <c:v>2520</c:v>
                </c:pt>
                <c:pt idx="1">
                  <c:v>2625</c:v>
                </c:pt>
                <c:pt idx="2">
                  <c:v>1375</c:v>
                </c:pt>
                <c:pt idx="3">
                  <c:v>1320</c:v>
                </c:pt>
                <c:pt idx="4">
                  <c:v>1140</c:v>
                </c:pt>
                <c:pt idx="5">
                  <c:v>1187.5</c:v>
                </c:pt>
                <c:pt idx="6">
                  <c:v>1650</c:v>
                </c:pt>
                <c:pt idx="7">
                  <c:v>1320</c:v>
                </c:pt>
                <c:pt idx="8">
                  <c:v>1020</c:v>
                </c:pt>
                <c:pt idx="9">
                  <c:v>1375</c:v>
                </c:pt>
                <c:pt idx="10">
                  <c:v>1187.5</c:v>
                </c:pt>
                <c:pt idx="11">
                  <c:v>936</c:v>
                </c:pt>
                <c:pt idx="12">
                  <c:v>1235</c:v>
                </c:pt>
                <c:pt idx="13">
                  <c:v>936</c:v>
                </c:pt>
                <c:pt idx="14">
                  <c:v>1875</c:v>
                </c:pt>
                <c:pt idx="15">
                  <c:v>936</c:v>
                </c:pt>
                <c:pt idx="16">
                  <c:v>1875</c:v>
                </c:pt>
              </c:numCache>
            </c:numRef>
          </c:val>
        </c:ser>
        <c:shape val="box"/>
        <c:axId val="70916736"/>
        <c:axId val="70939008"/>
        <c:axId val="61963776"/>
      </c:bar3DChart>
      <c:catAx>
        <c:axId val="7091673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1000" b="1"/>
            </a:pPr>
            <a:endParaRPr lang="es-ES"/>
          </a:p>
        </c:txPr>
        <c:crossAx val="70939008"/>
        <c:crosses val="autoZero"/>
        <c:auto val="1"/>
        <c:lblAlgn val="ctr"/>
        <c:lblOffset val="100"/>
      </c:catAx>
      <c:valAx>
        <c:axId val="70939008"/>
        <c:scaling>
          <c:orientation val="minMax"/>
        </c:scaling>
        <c:axPos val="l"/>
        <c:majorGridlines/>
        <c:numFmt formatCode="[$$-2C0A]\ #,##0" sourceLinked="1"/>
        <c:majorTickMark val="none"/>
        <c:tickLblPos val="nextTo"/>
        <c:txPr>
          <a:bodyPr/>
          <a:lstStyle/>
          <a:p>
            <a:pPr>
              <a:defRPr b="1"/>
            </a:pPr>
            <a:endParaRPr lang="es-ES"/>
          </a:p>
        </c:txPr>
        <c:crossAx val="70916736"/>
        <c:crosses val="autoZero"/>
        <c:crossBetween val="between"/>
      </c:valAx>
      <c:serAx>
        <c:axId val="61963776"/>
        <c:scaling>
          <c:orientation val="minMax"/>
        </c:scaling>
        <c:delete val="1"/>
        <c:axPos val="b"/>
        <c:tickLblPos val="none"/>
        <c:crossAx val="70939008"/>
        <c:crosses val="autoZero"/>
      </c:serAx>
    </c:plotArea>
    <c:plotVisOnly val="1"/>
  </c:chart>
  <c:spPr>
    <a:blipFill>
      <a:blip xmlns:r="http://schemas.openxmlformats.org/officeDocument/2006/relationships" r:embed="rId1"/>
      <a:tile tx="0" ty="0" sx="100000" sy="100000" flip="none" algn="tl"/>
    </a:blip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37</xdr:row>
      <xdr:rowOff>161924</xdr:rowOff>
    </xdr:from>
    <xdr:to>
      <xdr:col>11</xdr:col>
      <xdr:colOff>133349</xdr:colOff>
      <xdr:row>64</xdr:row>
      <xdr:rowOff>9524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323850</xdr:colOff>
      <xdr:row>68</xdr:row>
      <xdr:rowOff>133349</xdr:rowOff>
    </xdr:from>
    <xdr:to>
      <xdr:col>8</xdr:col>
      <xdr:colOff>781050</xdr:colOff>
      <xdr:row>93</xdr:row>
      <xdr:rowOff>66675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466724</xdr:colOff>
      <xdr:row>23</xdr:row>
      <xdr:rowOff>123824</xdr:rowOff>
    </xdr:from>
    <xdr:to>
      <xdr:col>8</xdr:col>
      <xdr:colOff>533400</xdr:colOff>
      <xdr:row>46</xdr:row>
      <xdr:rowOff>123824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9525</xdr:rowOff>
    </xdr:from>
    <xdr:to>
      <xdr:col>1</xdr:col>
      <xdr:colOff>771524</xdr:colOff>
      <xdr:row>2</xdr:row>
      <xdr:rowOff>193913</xdr:rowOff>
    </xdr:to>
    <xdr:pic>
      <xdr:nvPicPr>
        <xdr:cNvPr id="3073" name="Picture 1" descr="C:\Program Files\Microsoft Office\MEDIA\CAGCAT10\j0205582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6724" y="9525"/>
          <a:ext cx="962025" cy="879713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933450</xdr:colOff>
      <xdr:row>39</xdr:row>
      <xdr:rowOff>19049</xdr:rowOff>
    </xdr:from>
    <xdr:to>
      <xdr:col>11</xdr:col>
      <xdr:colOff>381000</xdr:colOff>
      <xdr:row>70</xdr:row>
      <xdr:rowOff>76200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J1000"/>
  <sheetViews>
    <sheetView topLeftCell="A4" workbookViewId="0">
      <selection activeCell="N91" sqref="N91"/>
    </sheetView>
  </sheetViews>
  <sheetFormatPr baseColWidth="10" defaultColWidth="9.140625" defaultRowHeight="12.75"/>
  <cols>
    <col min="1" max="1" width="11.85546875" customWidth="1"/>
    <col min="2" max="2" width="22.140625" customWidth="1"/>
    <col min="3" max="3" width="18.28515625" customWidth="1"/>
    <col min="4" max="4" width="13.5703125" customWidth="1"/>
    <col min="5" max="5" width="16.85546875" customWidth="1"/>
    <col min="6" max="6" width="14.5703125" customWidth="1"/>
    <col min="7" max="7" width="14" customWidth="1"/>
    <col min="8" max="8" width="16.140625" customWidth="1"/>
    <col min="9" max="9" width="13.28515625" customWidth="1"/>
    <col min="10" max="10" width="12" customWidth="1"/>
  </cols>
  <sheetData>
    <row r="1" spans="1:10" ht="13.5" thickTop="1">
      <c r="A1" s="212" t="s">
        <v>0</v>
      </c>
      <c r="B1" s="213"/>
      <c r="C1" s="213"/>
      <c r="D1" s="213"/>
      <c r="E1" s="213"/>
      <c r="F1" s="213"/>
      <c r="G1" s="213"/>
      <c r="H1" s="213"/>
      <c r="I1" s="213"/>
      <c r="J1" s="214"/>
    </row>
    <row r="2" spans="1:10">
      <c r="A2" s="215"/>
      <c r="B2" s="216"/>
      <c r="C2" s="216"/>
      <c r="D2" s="216"/>
      <c r="E2" s="216"/>
      <c r="F2" s="216"/>
      <c r="G2" s="216"/>
      <c r="H2" s="216"/>
      <c r="I2" s="216"/>
      <c r="J2" s="217"/>
    </row>
    <row r="3" spans="1:10" ht="13.5" thickBot="1">
      <c r="A3" s="218"/>
      <c r="B3" s="219"/>
      <c r="C3" s="219"/>
      <c r="D3" s="219"/>
      <c r="E3" s="219"/>
      <c r="F3" s="219"/>
      <c r="G3" s="219"/>
      <c r="H3" s="219"/>
      <c r="I3" s="219"/>
      <c r="J3" s="220"/>
    </row>
    <row r="4" spans="1:10" ht="15.75" customHeight="1" thickTop="1">
      <c r="A4" s="16" t="s">
        <v>1</v>
      </c>
      <c r="B4" s="17">
        <f ca="1">TODAY()</f>
        <v>41581</v>
      </c>
      <c r="C4" s="14"/>
      <c r="D4" s="18" t="s">
        <v>2</v>
      </c>
      <c r="E4" s="18"/>
      <c r="F4" s="14" t="s">
        <v>39</v>
      </c>
      <c r="G4" s="14"/>
      <c r="H4" s="14"/>
      <c r="I4" s="14"/>
      <c r="J4" s="19"/>
    </row>
    <row r="5" spans="1:10" ht="13.5" customHeight="1">
      <c r="A5" s="20"/>
      <c r="B5" s="14"/>
      <c r="C5" s="14"/>
      <c r="D5" s="18" t="s">
        <v>3</v>
      </c>
      <c r="E5" s="18"/>
      <c r="F5" s="14" t="s">
        <v>40</v>
      </c>
      <c r="G5" s="14"/>
      <c r="H5" s="14"/>
      <c r="I5" s="14"/>
      <c r="J5" s="19"/>
    </row>
    <row r="6" spans="1:10" ht="12.75" customHeight="1" thickBot="1">
      <c r="A6" s="21"/>
      <c r="B6" s="22"/>
      <c r="C6" s="22"/>
      <c r="D6" s="23" t="s">
        <v>4</v>
      </c>
      <c r="E6" s="23"/>
      <c r="F6" s="24" t="s">
        <v>46</v>
      </c>
      <c r="G6" s="22"/>
      <c r="H6" s="25" t="s">
        <v>41</v>
      </c>
      <c r="I6" s="26">
        <f>VLOOKUP(F6,F24:G26,2,0)</f>
        <v>0.315</v>
      </c>
      <c r="J6" s="27"/>
    </row>
    <row r="7" spans="1:10" ht="14.25" customHeight="1" thickTop="1" thickBot="1">
      <c r="F7" s="1"/>
      <c r="G7" s="1"/>
    </row>
    <row r="8" spans="1:10" ht="16.5" customHeight="1" thickTop="1" thickBot="1">
      <c r="A8" s="221" t="s">
        <v>16</v>
      </c>
      <c r="B8" s="221"/>
      <c r="C8" s="221"/>
      <c r="D8" s="221" t="s">
        <v>8</v>
      </c>
      <c r="E8" s="222" t="s">
        <v>9</v>
      </c>
      <c r="F8" s="222"/>
      <c r="G8" s="222"/>
      <c r="H8" s="222"/>
      <c r="I8" s="222"/>
      <c r="J8" s="223"/>
    </row>
    <row r="9" spans="1:10" ht="14.25" thickTop="1" thickBot="1">
      <c r="A9" s="30" t="s">
        <v>5</v>
      </c>
      <c r="B9" s="30" t="s">
        <v>6</v>
      </c>
      <c r="C9" s="30" t="s">
        <v>7</v>
      </c>
      <c r="D9" s="221"/>
      <c r="E9" s="31" t="s">
        <v>10</v>
      </c>
      <c r="F9" s="32" t="s">
        <v>11</v>
      </c>
      <c r="G9" s="32" t="s">
        <v>12</v>
      </c>
      <c r="H9" s="32" t="s">
        <v>13</v>
      </c>
      <c r="I9" s="52" t="s">
        <v>14</v>
      </c>
      <c r="J9" s="33" t="s">
        <v>15</v>
      </c>
    </row>
    <row r="10" spans="1:10" ht="13.5" thickTop="1">
      <c r="A10" s="28">
        <v>133</v>
      </c>
      <c r="B10" s="34" t="str">
        <f>VLOOKUP(A10,$A$24:$D$34,2,0)</f>
        <v>Limpieza</v>
      </c>
      <c r="C10" s="35" t="str">
        <f>VLOOKUP(A10,$A$24:$D$34,3,0)</f>
        <v>Jabón "Shock"</v>
      </c>
      <c r="D10" s="29">
        <v>3</v>
      </c>
      <c r="E10" s="36">
        <f>VLOOKUP(A10,$A$24:$D$34,4,0)</f>
        <v>1.2</v>
      </c>
      <c r="F10" s="36">
        <f>IF(D10&gt;4,E10*0.1,0)</f>
        <v>0</v>
      </c>
      <c r="G10" s="36">
        <f>E10-F10</f>
        <v>1.2</v>
      </c>
      <c r="H10" s="36">
        <f>IF(D10&gt;4,D10*G10,D10*E10)</f>
        <v>3.5999999999999996</v>
      </c>
      <c r="I10" s="40">
        <f>H10*$I$6</f>
        <v>1.1339999999999999</v>
      </c>
      <c r="J10" s="37">
        <f>H10+I10</f>
        <v>4.734</v>
      </c>
    </row>
    <row r="11" spans="1:10">
      <c r="A11" s="20">
        <v>137</v>
      </c>
      <c r="B11" s="38" t="str">
        <f t="shared" ref="B11:B16" si="0">VLOOKUP(A11,$A$24:$D$34,2,0)</f>
        <v>Carnicería</v>
      </c>
      <c r="C11" s="39" t="str">
        <f t="shared" ref="C11:C16" si="1">VLOOKUP(A11,$A$24:$D$34,3,0)</f>
        <v>Lomo</v>
      </c>
      <c r="D11" s="14">
        <v>5</v>
      </c>
      <c r="E11" s="40">
        <f t="shared" ref="E11:E16" si="2">VLOOKUP(A11,$A$24:$D$34,4,0)</f>
        <v>9.8000000000000007</v>
      </c>
      <c r="F11" s="40">
        <f t="shared" ref="F11:F16" si="3">IF(D11&gt;4,E11*0.1,0)</f>
        <v>0.98000000000000009</v>
      </c>
      <c r="G11" s="40">
        <f>E11-F11</f>
        <v>8.82</v>
      </c>
      <c r="H11" s="40">
        <f t="shared" ref="H11:H16" si="4">IF(D11&gt;4,D11*G11,D11*E11)</f>
        <v>44.1</v>
      </c>
      <c r="I11" s="40">
        <f t="shared" ref="I11:I16" si="5">H11*$I$6</f>
        <v>13.891500000000001</v>
      </c>
      <c r="J11" s="41">
        <f t="shared" ref="J11:J17" si="6">H11+I11</f>
        <v>57.991500000000002</v>
      </c>
    </row>
    <row r="12" spans="1:10">
      <c r="A12" s="20">
        <v>139</v>
      </c>
      <c r="B12" s="38" t="str">
        <f t="shared" si="0"/>
        <v>Almacén</v>
      </c>
      <c r="C12" s="39" t="str">
        <f t="shared" si="1"/>
        <v>Sopa "Nor Suecia"</v>
      </c>
      <c r="D12" s="14">
        <v>1</v>
      </c>
      <c r="E12" s="40">
        <f t="shared" si="2"/>
        <v>3.5</v>
      </c>
      <c r="F12" s="40">
        <f t="shared" si="3"/>
        <v>0</v>
      </c>
      <c r="G12" s="40">
        <f t="shared" ref="G12:G16" si="7">E12-F12</f>
        <v>3.5</v>
      </c>
      <c r="H12" s="40">
        <f t="shared" si="4"/>
        <v>3.5</v>
      </c>
      <c r="I12" s="40">
        <f t="shared" si="5"/>
        <v>1.1025</v>
      </c>
      <c r="J12" s="41">
        <f t="shared" si="6"/>
        <v>4.6025</v>
      </c>
    </row>
    <row r="13" spans="1:10">
      <c r="A13" s="20">
        <v>132</v>
      </c>
      <c r="B13" s="38" t="str">
        <f t="shared" si="0"/>
        <v>Perfumería</v>
      </c>
      <c r="C13" s="39" t="str">
        <f t="shared" si="1"/>
        <v>Colonia "Y2K"</v>
      </c>
      <c r="D13" s="42">
        <v>5</v>
      </c>
      <c r="E13" s="40">
        <f t="shared" si="2"/>
        <v>15.5</v>
      </c>
      <c r="F13" s="40">
        <f t="shared" si="3"/>
        <v>1.55</v>
      </c>
      <c r="G13" s="40">
        <f t="shared" si="7"/>
        <v>13.95</v>
      </c>
      <c r="H13" s="40">
        <f t="shared" si="4"/>
        <v>69.75</v>
      </c>
      <c r="I13" s="40">
        <f t="shared" si="5"/>
        <v>21.971250000000001</v>
      </c>
      <c r="J13" s="41">
        <f t="shared" si="6"/>
        <v>91.721249999999998</v>
      </c>
    </row>
    <row r="14" spans="1:10">
      <c r="A14" s="20">
        <v>136</v>
      </c>
      <c r="B14" s="38" t="str">
        <f t="shared" si="0"/>
        <v>Bebidas</v>
      </c>
      <c r="C14" s="39" t="str">
        <f t="shared" si="1"/>
        <v>Jugo "Hugo"</v>
      </c>
      <c r="D14" s="14">
        <v>2</v>
      </c>
      <c r="E14" s="40">
        <f t="shared" si="2"/>
        <v>2.8</v>
      </c>
      <c r="F14" s="40">
        <f t="shared" si="3"/>
        <v>0</v>
      </c>
      <c r="G14" s="40">
        <f t="shared" si="7"/>
        <v>2.8</v>
      </c>
      <c r="H14" s="40">
        <f t="shared" si="4"/>
        <v>5.6</v>
      </c>
      <c r="I14" s="40">
        <f t="shared" si="5"/>
        <v>1.7639999999999998</v>
      </c>
      <c r="J14" s="41">
        <f t="shared" si="6"/>
        <v>7.363999999999999</v>
      </c>
    </row>
    <row r="15" spans="1:10">
      <c r="A15" s="20">
        <v>134</v>
      </c>
      <c r="B15" s="38" t="str">
        <f t="shared" si="0"/>
        <v>Almacén</v>
      </c>
      <c r="C15" s="39" t="str">
        <f t="shared" si="1"/>
        <v>Atún "Tun"</v>
      </c>
      <c r="D15" s="14">
        <v>8</v>
      </c>
      <c r="E15" s="40">
        <f t="shared" si="2"/>
        <v>4.4000000000000004</v>
      </c>
      <c r="F15" s="40">
        <f t="shared" si="3"/>
        <v>0.44000000000000006</v>
      </c>
      <c r="G15" s="40">
        <f t="shared" si="7"/>
        <v>3.9600000000000004</v>
      </c>
      <c r="H15" s="40">
        <f t="shared" si="4"/>
        <v>31.680000000000003</v>
      </c>
      <c r="I15" s="40">
        <f t="shared" si="5"/>
        <v>9.9792000000000005</v>
      </c>
      <c r="J15" s="41">
        <f t="shared" si="6"/>
        <v>41.659200000000006</v>
      </c>
    </row>
    <row r="16" spans="1:10" ht="13.5" thickBot="1">
      <c r="A16" s="21">
        <v>130</v>
      </c>
      <c r="B16" s="43" t="str">
        <f t="shared" si="0"/>
        <v>Almacén</v>
      </c>
      <c r="C16" s="44" t="str">
        <f t="shared" si="1"/>
        <v>Yerba "Yuyito"</v>
      </c>
      <c r="D16" s="22">
        <v>4</v>
      </c>
      <c r="E16" s="45">
        <f t="shared" si="2"/>
        <v>3.9</v>
      </c>
      <c r="F16" s="45">
        <f t="shared" si="3"/>
        <v>0</v>
      </c>
      <c r="G16" s="45">
        <f t="shared" si="7"/>
        <v>3.9</v>
      </c>
      <c r="H16" s="45">
        <f t="shared" si="4"/>
        <v>15.6</v>
      </c>
      <c r="I16" s="40">
        <f t="shared" si="5"/>
        <v>4.9139999999999997</v>
      </c>
      <c r="J16" s="46">
        <f t="shared" si="6"/>
        <v>20.513999999999999</v>
      </c>
    </row>
    <row r="17" spans="1:10" ht="20.25" customHeight="1" thickTop="1" thickBot="1">
      <c r="F17" s="224" t="s">
        <v>17</v>
      </c>
      <c r="G17" s="224"/>
      <c r="H17" s="47">
        <f>SUM(H10:H16)</f>
        <v>173.82999999999998</v>
      </c>
      <c r="I17" s="47">
        <f>SUM(I10:I16)</f>
        <v>54.756450000000001</v>
      </c>
      <c r="J17" s="47">
        <f t="shared" si="6"/>
        <v>228.58644999999999</v>
      </c>
    </row>
    <row r="18" spans="1:10" ht="13.5" thickTop="1">
      <c r="F18" s="1"/>
      <c r="H18" s="6"/>
    </row>
    <row r="19" spans="1:10" ht="24" customHeight="1">
      <c r="A19" s="209" t="s">
        <v>18</v>
      </c>
      <c r="B19" s="209"/>
      <c r="C19" s="209"/>
      <c r="D19" s="48">
        <f>J17/3</f>
        <v>76.195483333333328</v>
      </c>
      <c r="E19" s="209" t="s">
        <v>19</v>
      </c>
      <c r="F19" s="209"/>
      <c r="G19" s="209"/>
      <c r="H19" s="209"/>
    </row>
    <row r="20" spans="1:10" ht="21" customHeight="1">
      <c r="A20" s="209" t="s">
        <v>20</v>
      </c>
      <c r="B20" s="209"/>
      <c r="C20" s="209"/>
      <c r="F20" s="1"/>
    </row>
    <row r="21" spans="1:10" ht="15" customHeight="1" thickBot="1"/>
    <row r="22" spans="1:10" ht="20.25" customHeight="1" thickTop="1" thickBot="1">
      <c r="A22" s="225" t="s">
        <v>21</v>
      </c>
      <c r="B22" s="226"/>
      <c r="C22" s="226"/>
      <c r="D22" s="227"/>
      <c r="F22" s="210" t="s">
        <v>44</v>
      </c>
      <c r="G22" s="211"/>
    </row>
    <row r="23" spans="1:10" ht="24.75" customHeight="1" thickTop="1" thickBot="1">
      <c r="A23" s="58" t="s">
        <v>5</v>
      </c>
      <c r="B23" s="59" t="s">
        <v>6</v>
      </c>
      <c r="C23" s="59" t="s">
        <v>7</v>
      </c>
      <c r="D23" s="60" t="s">
        <v>22</v>
      </c>
      <c r="F23" s="56" t="s">
        <v>42</v>
      </c>
      <c r="G23" s="57" t="s">
        <v>43</v>
      </c>
    </row>
    <row r="24" spans="1:10">
      <c r="A24" s="53">
        <v>130</v>
      </c>
      <c r="B24" s="53" t="s">
        <v>23</v>
      </c>
      <c r="C24" s="53" t="s">
        <v>28</v>
      </c>
      <c r="D24" s="53">
        <v>3.9</v>
      </c>
      <c r="F24" s="20" t="s">
        <v>47</v>
      </c>
      <c r="G24" s="49">
        <v>0</v>
      </c>
    </row>
    <row r="25" spans="1:10">
      <c r="A25" s="54">
        <v>131</v>
      </c>
      <c r="B25" s="54" t="s">
        <v>23</v>
      </c>
      <c r="C25" s="54" t="s">
        <v>29</v>
      </c>
      <c r="D25" s="54">
        <v>3.5</v>
      </c>
      <c r="F25" s="20" t="s">
        <v>45</v>
      </c>
      <c r="G25" s="49">
        <v>0.21</v>
      </c>
    </row>
    <row r="26" spans="1:10" ht="13.5" thickBot="1">
      <c r="A26" s="54">
        <v>132</v>
      </c>
      <c r="B26" s="54" t="s">
        <v>24</v>
      </c>
      <c r="C26" s="54" t="s">
        <v>30</v>
      </c>
      <c r="D26" s="54">
        <v>15.5</v>
      </c>
      <c r="F26" s="21" t="s">
        <v>46</v>
      </c>
      <c r="G26" s="50">
        <v>0.315</v>
      </c>
    </row>
    <row r="27" spans="1:10" ht="13.5" thickTop="1">
      <c r="A27" s="54">
        <v>133</v>
      </c>
      <c r="B27" s="54" t="s">
        <v>25</v>
      </c>
      <c r="C27" s="54" t="s">
        <v>31</v>
      </c>
      <c r="D27" s="54">
        <v>1.2</v>
      </c>
    </row>
    <row r="28" spans="1:10">
      <c r="A28" s="54">
        <v>134</v>
      </c>
      <c r="B28" s="54" t="s">
        <v>23</v>
      </c>
      <c r="C28" s="54" t="s">
        <v>32</v>
      </c>
      <c r="D28" s="54">
        <v>4.4000000000000004</v>
      </c>
    </row>
    <row r="29" spans="1:10">
      <c r="A29" s="54">
        <v>135</v>
      </c>
      <c r="B29" s="54" t="s">
        <v>26</v>
      </c>
      <c r="C29" s="54" t="s">
        <v>33</v>
      </c>
      <c r="D29" s="54">
        <v>1.05</v>
      </c>
    </row>
    <row r="30" spans="1:10">
      <c r="A30" s="54">
        <v>136</v>
      </c>
      <c r="B30" s="54" t="s">
        <v>26</v>
      </c>
      <c r="C30" s="54" t="s">
        <v>34</v>
      </c>
      <c r="D30" s="54">
        <v>2.8</v>
      </c>
    </row>
    <row r="31" spans="1:10">
      <c r="A31" s="54">
        <v>137</v>
      </c>
      <c r="B31" s="54" t="s">
        <v>27</v>
      </c>
      <c r="C31" s="54" t="s">
        <v>35</v>
      </c>
      <c r="D31" s="54">
        <v>9.8000000000000007</v>
      </c>
    </row>
    <row r="32" spans="1:10">
      <c r="A32" s="54">
        <v>138</v>
      </c>
      <c r="B32" s="54" t="s">
        <v>24</v>
      </c>
      <c r="C32" s="54" t="s">
        <v>36</v>
      </c>
      <c r="D32" s="54">
        <v>2.5</v>
      </c>
    </row>
    <row r="33" spans="1:4">
      <c r="A33" s="54">
        <v>139</v>
      </c>
      <c r="B33" s="54" t="s">
        <v>23</v>
      </c>
      <c r="C33" s="54" t="s">
        <v>37</v>
      </c>
      <c r="D33" s="54">
        <v>3.5</v>
      </c>
    </row>
    <row r="34" spans="1:4" ht="13.5" thickBot="1">
      <c r="A34" s="55">
        <v>140</v>
      </c>
      <c r="B34" s="55" t="s">
        <v>27</v>
      </c>
      <c r="C34" s="55" t="s">
        <v>38</v>
      </c>
      <c r="D34" s="55">
        <v>7.5</v>
      </c>
    </row>
    <row r="1000" spans="1:1">
      <c r="A1000" t="s">
        <v>201</v>
      </c>
    </row>
  </sheetData>
  <mergeCells count="10">
    <mergeCell ref="E19:H19"/>
    <mergeCell ref="A19:C19"/>
    <mergeCell ref="A20:C20"/>
    <mergeCell ref="F22:G22"/>
    <mergeCell ref="A1:J3"/>
    <mergeCell ref="A8:C8"/>
    <mergeCell ref="E8:J8"/>
    <mergeCell ref="D8:D9"/>
    <mergeCell ref="F17:G17"/>
    <mergeCell ref="A22:D22"/>
  </mergeCells>
  <phoneticPr fontId="0" type="noConversion"/>
  <dataValidations count="1">
    <dataValidation type="list" errorStyle="warning" allowBlank="1" showInputMessage="1" showErrorMessage="1" error="Debes ingresar sólo la situación" promptTitle="Ingrese situación" prompt="Puede ser: Excento, R.I. o R.N.I." sqref="F6">
      <formula1>$F$24:$F$26</formula1>
    </dataValidation>
  </dataValidations>
  <pageMargins left="0.75" right="0.75" top="1" bottom="1" header="0" footer="0"/>
  <pageSetup paperSize="9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4"/>
  </sheetPr>
  <dimension ref="A1:O1004"/>
  <sheetViews>
    <sheetView topLeftCell="A10" workbookViewId="0">
      <selection activeCell="K19" sqref="K19"/>
    </sheetView>
  </sheetViews>
  <sheetFormatPr baseColWidth="10" defaultRowHeight="12.75" outlineLevelRow="2"/>
  <cols>
    <col min="1" max="1" width="12.42578125" customWidth="1"/>
    <col min="2" max="2" width="19.140625" customWidth="1"/>
    <col min="3" max="3" width="15.42578125" customWidth="1"/>
    <col min="4" max="4" width="12.7109375" customWidth="1"/>
    <col min="5" max="5" width="13.28515625" customWidth="1"/>
    <col min="6" max="6" width="12.42578125" customWidth="1"/>
    <col min="7" max="7" width="12.7109375" customWidth="1"/>
    <col min="8" max="8" width="19.140625" customWidth="1"/>
    <col min="9" max="9" width="14.85546875" customWidth="1"/>
    <col min="11" max="11" width="10.140625" customWidth="1"/>
    <col min="12" max="12" width="18.42578125" customWidth="1"/>
    <col min="13" max="13" width="20.28515625" customWidth="1"/>
    <col min="14" max="14" width="15.28515625" customWidth="1"/>
    <col min="15" max="15" width="14.42578125" customWidth="1"/>
  </cols>
  <sheetData>
    <row r="1" spans="1:14" ht="15.75" customHeight="1"/>
    <row r="2" spans="1:14" ht="20.25" customHeight="1">
      <c r="A2" s="228" t="s">
        <v>48</v>
      </c>
      <c r="B2" s="228"/>
      <c r="C2" s="228"/>
      <c r="D2" s="228"/>
      <c r="E2" s="228"/>
      <c r="F2" s="228"/>
      <c r="G2" s="228"/>
      <c r="H2" s="228"/>
      <c r="I2" s="228"/>
    </row>
    <row r="3" spans="1:14" ht="14.25" customHeight="1" thickBot="1"/>
    <row r="4" spans="1:14" ht="48" customHeight="1" thickTop="1" thickBot="1">
      <c r="A4" s="90" t="s">
        <v>49</v>
      </c>
      <c r="B4" s="90" t="s">
        <v>50</v>
      </c>
      <c r="C4" s="79" t="s">
        <v>51</v>
      </c>
      <c r="D4" s="90" t="s">
        <v>52</v>
      </c>
      <c r="E4" s="90" t="s">
        <v>53</v>
      </c>
      <c r="F4" s="79" t="s">
        <v>54</v>
      </c>
      <c r="G4" s="90" t="s">
        <v>55</v>
      </c>
      <c r="H4" s="90" t="s">
        <v>56</v>
      </c>
      <c r="I4" s="90" t="s">
        <v>70</v>
      </c>
      <c r="L4" s="96" t="s">
        <v>49</v>
      </c>
      <c r="M4" s="97" t="s">
        <v>50</v>
      </c>
      <c r="N4" s="95" t="s">
        <v>57</v>
      </c>
    </row>
    <row r="5" spans="1:14" ht="14.25" outlineLevel="2" thickTop="1" thickBot="1">
      <c r="A5" s="61">
        <v>130</v>
      </c>
      <c r="B5" s="61" t="str">
        <f>VLOOKUP(A5,$L$5:$M$15,2,0)</f>
        <v>Inglés I</v>
      </c>
      <c r="C5" s="51" t="str">
        <f>IF(VLOOKUP(A5,$L$5:$N$15,3,0)="A",$M$24,IF(VLOOKUP(A5,$L$5:$N$15,3,0)="B",$N$24,$O$24))</f>
        <v>Cs.Económicas</v>
      </c>
      <c r="D5" s="7">
        <v>40751</v>
      </c>
      <c r="E5" s="91">
        <v>115</v>
      </c>
      <c r="F5" s="1" t="str">
        <f>IF(E5&lt;50,"BAJA",IF(E5&lt;=100,"NORMAL","ALTA"))</f>
        <v>ALTA</v>
      </c>
      <c r="G5" s="1">
        <f>IF(AND(E5&lt;80,D5&gt;$D$19),805,812)</f>
        <v>812</v>
      </c>
      <c r="H5" s="7">
        <f>(E5/8+D5)</f>
        <v>40765.375</v>
      </c>
      <c r="I5" s="87">
        <f>IF(C5="ingeniería",E5*$N$25,IF(C5="Derecho",E5*$M$25,E5*$O$25))</f>
        <v>2300</v>
      </c>
      <c r="L5" s="69">
        <v>101</v>
      </c>
      <c r="M5" s="65" t="s">
        <v>58</v>
      </c>
      <c r="N5" s="67" t="s">
        <v>67</v>
      </c>
    </row>
    <row r="6" spans="1:14" ht="13.5" outlineLevel="2" thickBot="1">
      <c r="A6" s="61">
        <v>125</v>
      </c>
      <c r="B6" s="61" t="str">
        <f>VLOOKUP(A6,$L$5:$M$15,2,0)</f>
        <v>Informática II</v>
      </c>
      <c r="C6" s="51" t="str">
        <f>IF(VLOOKUP(A6,$L$5:$N$15,3,0)="A",$M$24,IF(VLOOKUP(A6,$L$5:$N$15,3,0)="B",$N$24,$O$24))</f>
        <v>Cs.Económicas</v>
      </c>
      <c r="D6" s="7">
        <v>40731</v>
      </c>
      <c r="E6" s="91">
        <v>96</v>
      </c>
      <c r="F6" s="1" t="str">
        <f>IF(E6&lt;50,"BAJA",IF(E6&lt;=100,"NORMAL","ALTA"))</f>
        <v>NORMAL</v>
      </c>
      <c r="G6" s="1">
        <f>IF(AND(E6&lt;80,D6&gt;$D$19),805,812)</f>
        <v>812</v>
      </c>
      <c r="H6" s="7">
        <f>(E6/8+D6)</f>
        <v>40743</v>
      </c>
      <c r="I6" s="87">
        <f>IF(C6="ingeniería",E6*$N$25,IF(C6="Derecho",E6*$M$25,E6*$O$25))</f>
        <v>1920</v>
      </c>
      <c r="L6" s="70">
        <v>128</v>
      </c>
      <c r="M6" s="63" t="s">
        <v>59</v>
      </c>
      <c r="N6" s="66" t="s">
        <v>67</v>
      </c>
    </row>
    <row r="7" spans="1:14" ht="13.5" outlineLevel="2" thickBot="1">
      <c r="A7" s="61">
        <v>115</v>
      </c>
      <c r="B7" s="61" t="str">
        <f>VLOOKUP(A7,$L$5:$M$15,2,0)</f>
        <v>Informática I</v>
      </c>
      <c r="C7" s="51" t="str">
        <f>IF(VLOOKUP(A7,$L$5:$N$15,3,0)="A",$M$24,IF(VLOOKUP(A7,$L$5:$N$15,3,0)="B",$N$24,$O$24))</f>
        <v>Cs.Económicas</v>
      </c>
      <c r="D7" s="7">
        <v>40735</v>
      </c>
      <c r="E7" s="91">
        <v>75</v>
      </c>
      <c r="F7" s="1" t="str">
        <f>IF(E7&lt;50,"BAJA",IF(E7&lt;=100,"NORMAL","ALTA"))</f>
        <v>NORMAL</v>
      </c>
      <c r="G7" s="1">
        <f>IF(AND(E7&lt;80,D7&gt;$D$19),805,812)</f>
        <v>812</v>
      </c>
      <c r="H7" s="7">
        <f>(E7/8+D7)</f>
        <v>40744.375</v>
      </c>
      <c r="I7" s="87">
        <f>IF(C7="ingeniería",E7*$N$25,IF(C7="Derecho",E7*$M$25,E7*$O$25))</f>
        <v>1500</v>
      </c>
      <c r="L7" s="70">
        <v>142</v>
      </c>
      <c r="M7" s="63" t="s">
        <v>60</v>
      </c>
      <c r="N7" s="66" t="s">
        <v>67</v>
      </c>
    </row>
    <row r="8" spans="1:14" ht="13.5" outlineLevel="2" thickBot="1">
      <c r="A8" s="61">
        <v>120</v>
      </c>
      <c r="B8" s="61" t="str">
        <f>VLOOKUP(A8,$L$5:$M$15,2,0)</f>
        <v>Estadística</v>
      </c>
      <c r="C8" s="51" t="str">
        <f>IF(VLOOKUP(A8,$L$5:$N$15,3,0)="A",$M$24,IF(VLOOKUP(A8,$L$5:$N$15,3,0)="B",$N$24,$O$24))</f>
        <v>Cs.Económicas</v>
      </c>
      <c r="D8" s="7">
        <v>40734</v>
      </c>
      <c r="E8" s="91">
        <v>58</v>
      </c>
      <c r="F8" s="1" t="str">
        <f>IF(E8&lt;50,"BAJA",IF(E8&lt;=100,"NORMAL","ALTA"))</f>
        <v>NORMAL</v>
      </c>
      <c r="G8" s="1">
        <f>IF(AND(E8&lt;80,D8&gt;$D$19),805,812)</f>
        <v>812</v>
      </c>
      <c r="H8" s="7">
        <f>(E8/8+D8)</f>
        <v>40741.25</v>
      </c>
      <c r="I8" s="87">
        <f>IF(C8="ingeniería",E8*$N$25,IF(C8="Derecho",E8*$M$25,E8*$O$25))</f>
        <v>1160</v>
      </c>
      <c r="L8" s="70">
        <v>108</v>
      </c>
      <c r="M8" s="63" t="s">
        <v>61</v>
      </c>
      <c r="N8" s="66" t="s">
        <v>68</v>
      </c>
    </row>
    <row r="9" spans="1:14" ht="13.5" outlineLevel="1" thickBot="1">
      <c r="A9" s="80"/>
      <c r="B9" s="80"/>
      <c r="C9" s="81" t="s">
        <v>203</v>
      </c>
      <c r="D9" s="82"/>
      <c r="E9" s="92">
        <f>SUBTOTAL(9,E5:E8)</f>
        <v>344</v>
      </c>
      <c r="F9" s="1"/>
      <c r="G9" s="1"/>
      <c r="H9" s="7"/>
      <c r="I9" s="88">
        <f>SUBTOTAL(9,I5:I8)</f>
        <v>6880</v>
      </c>
      <c r="L9" s="70"/>
      <c r="M9" s="63"/>
      <c r="N9" s="66"/>
    </row>
    <row r="10" spans="1:14" ht="13.5" outlineLevel="2" thickBot="1">
      <c r="A10" s="39">
        <v>101</v>
      </c>
      <c r="B10" s="39" t="str">
        <f>VLOOKUP(A10,$L$5:$M$15,2,0)</f>
        <v>Derecho Público</v>
      </c>
      <c r="C10" s="72" t="str">
        <f>IF(VLOOKUP(A10,$L$5:$N$15,3,0)="A",$M$24,IF(VLOOKUP(A10,$L$5:$N$15,3,0)="B",$N$24,$O$24))</f>
        <v>Derecho</v>
      </c>
      <c r="D10" s="74">
        <v>40742</v>
      </c>
      <c r="E10" s="93">
        <v>102</v>
      </c>
      <c r="F10" s="1" t="str">
        <f>IF(E10&lt;50,"BAJA",IF(E10&lt;=100,"NORMAL","ALTA"))</f>
        <v>ALTA</v>
      </c>
      <c r="G10" s="1">
        <f>IF(AND(E10&lt;80,D10&gt;$D$19),805,812)</f>
        <v>812</v>
      </c>
      <c r="H10" s="7">
        <f>(E10/8+D10)</f>
        <v>40754.75</v>
      </c>
      <c r="I10" s="88">
        <f>IF(C10="ingeniería",E10*$N$25,IF(C10="Derecho",E10*$M$25,E10*$O$25))</f>
        <v>2550</v>
      </c>
      <c r="L10" s="70">
        <v>112</v>
      </c>
      <c r="M10" s="63" t="s">
        <v>62</v>
      </c>
      <c r="N10" s="66" t="s">
        <v>68</v>
      </c>
    </row>
    <row r="11" spans="1:14" ht="13.5" outlineLevel="2" thickBot="1">
      <c r="A11" s="39">
        <v>128</v>
      </c>
      <c r="B11" s="39" t="str">
        <f>VLOOKUP(A11,$L$5:$M$15,2,0)</f>
        <v>Derecho Penal</v>
      </c>
      <c r="C11" s="72" t="str">
        <f>IF(VLOOKUP(A11,$L$5:$N$15,3,0)="A",$M$24,IF(VLOOKUP(A11,$L$5:$N$15,3,0)="B",$N$24,$O$24))</f>
        <v>Derecho</v>
      </c>
      <c r="D11" s="74">
        <v>40745</v>
      </c>
      <c r="E11" s="93">
        <v>68</v>
      </c>
      <c r="F11" s="1" t="str">
        <f>IF(E11&lt;50,"BAJA",IF(E11&lt;=100,"NORMAL","ALTA"))</f>
        <v>NORMAL</v>
      </c>
      <c r="G11" s="1">
        <f>IF(AND(E11&lt;80,D11&gt;$D$19),805,812)</f>
        <v>805</v>
      </c>
      <c r="H11" s="7">
        <f>(E11/8+D11)</f>
        <v>40753.5</v>
      </c>
      <c r="I11" s="88">
        <f>IF(C11="ingeniería",E11*$N$25,IF(C11="Derecho",E11*$M$25,E11*$O$25))</f>
        <v>1700</v>
      </c>
      <c r="L11" s="70">
        <v>115</v>
      </c>
      <c r="M11" s="63" t="s">
        <v>63</v>
      </c>
      <c r="N11" s="66" t="s">
        <v>69</v>
      </c>
    </row>
    <row r="12" spans="1:14" ht="13.5" outlineLevel="2" thickBot="1">
      <c r="A12" s="39">
        <v>142</v>
      </c>
      <c r="B12" s="39" t="str">
        <f>VLOOKUP(A12,$L$5:$M$15,2,0)</f>
        <v>Derecho Civil</v>
      </c>
      <c r="C12" s="72" t="str">
        <f>IF(VLOOKUP(A12,$L$5:$N$15,3,0)="A",$M$24,IF(VLOOKUP(A12,$L$5:$N$15,3,0)="B",$N$24,$O$24))</f>
        <v>Derecho</v>
      </c>
      <c r="D12" s="74">
        <v>40737</v>
      </c>
      <c r="E12" s="93">
        <v>36</v>
      </c>
      <c r="F12" s="1" t="str">
        <f>IF(E12&lt;50,"BAJA",IF(E12&lt;=100,"NORMAL","ALTA"))</f>
        <v>BAJA</v>
      </c>
      <c r="G12" s="1">
        <f>IF(AND(E12&lt;80,D12&gt;$D$19),805,812)</f>
        <v>812</v>
      </c>
      <c r="H12" s="7">
        <f>(E12/8+D12)</f>
        <v>40741.5</v>
      </c>
      <c r="I12" s="88">
        <f>IF(C12="ingeniería",E12*$N$25,IF(C12="Derecho",E12*$M$25,E12*$O$25))</f>
        <v>900</v>
      </c>
      <c r="L12" s="70">
        <v>120</v>
      </c>
      <c r="M12" s="63" t="s">
        <v>64</v>
      </c>
      <c r="N12" s="66" t="s">
        <v>69</v>
      </c>
    </row>
    <row r="13" spans="1:14" ht="13.5" outlineLevel="1" thickBot="1">
      <c r="A13" s="83"/>
      <c r="B13" s="83"/>
      <c r="C13" s="84" t="s">
        <v>204</v>
      </c>
      <c r="D13" s="85"/>
      <c r="E13" s="92">
        <f>SUBTOTAL(9,E10:E12)</f>
        <v>206</v>
      </c>
      <c r="F13" s="1"/>
      <c r="G13" s="1"/>
      <c r="H13" s="7"/>
      <c r="I13" s="88">
        <f>SUBTOTAL(9,I10:I12)</f>
        <v>5150</v>
      </c>
      <c r="L13" s="70"/>
      <c r="M13" s="63"/>
      <c r="N13" s="66"/>
    </row>
    <row r="14" spans="1:14" ht="13.5" outlineLevel="2" thickBot="1">
      <c r="A14" s="83">
        <v>112</v>
      </c>
      <c r="B14" s="83" t="str">
        <f>VLOOKUP(A14,$L$5:$M$15,2,0)</f>
        <v>Análisis Matemático</v>
      </c>
      <c r="C14" s="80" t="str">
        <f>IF(VLOOKUP(A14,$L$5:$N$15,3,0)="A",$M$24,IF(VLOOKUP(A14,$L$5:$N$15,3,0)="B",$N$24,$O$24))</f>
        <v>Ingeniería</v>
      </c>
      <c r="D14" s="85">
        <v>40739</v>
      </c>
      <c r="E14" s="92">
        <v>132</v>
      </c>
      <c r="F14" s="1" t="str">
        <f>IF(E14&lt;50,"BAJA",IF(E14&lt;=100,"NORMAL","ALTA"))</f>
        <v>ALTA</v>
      </c>
      <c r="G14" s="1">
        <f>IF(AND(E14&lt;80,D14&gt;$D$19),805,812)</f>
        <v>812</v>
      </c>
      <c r="H14" s="7">
        <f>(E14/8+D14)</f>
        <v>40755.5</v>
      </c>
      <c r="I14" s="88">
        <f>IF(C14="ingeniería",E14*$N$25,IF(C14="Derecho",E14*$M$25,E14*$O$25))</f>
        <v>4620</v>
      </c>
      <c r="L14" s="70">
        <v>125</v>
      </c>
      <c r="M14" s="63" t="s">
        <v>65</v>
      </c>
      <c r="N14" s="66" t="s">
        <v>69</v>
      </c>
    </row>
    <row r="15" spans="1:14" ht="13.5" outlineLevel="2" thickBot="1">
      <c r="A15" s="83">
        <v>108</v>
      </c>
      <c r="B15" s="83" t="str">
        <f>VLOOKUP(A15,$L$5:$M$15,2,0)</f>
        <v>Sistemas Operativos I</v>
      </c>
      <c r="C15" s="80" t="str">
        <f>IF(VLOOKUP(A15,$L$5:$N$15,3,0)="A",$M$24,IF(VLOOKUP(A15,$L$5:$N$15,3,0)="B",$N$24,$O$24))</f>
        <v>Ingeniería</v>
      </c>
      <c r="D15" s="85">
        <v>40747</v>
      </c>
      <c r="E15" s="92">
        <v>41</v>
      </c>
      <c r="F15" s="1" t="str">
        <f>IF(E15&lt;50,"BAJA",IF(E15&lt;=100,"NORMAL","ALTA"))</f>
        <v>BAJA</v>
      </c>
      <c r="G15" s="1">
        <f>IF(AND(E15&lt;80,D15&gt;$D$19),805,812)</f>
        <v>805</v>
      </c>
      <c r="H15" s="7">
        <f>(E15/8+D15)</f>
        <v>40752.125</v>
      </c>
      <c r="I15" s="88">
        <f>IF(C15="ingeniería",E15*$N$25,IF(C15="Derecho",E15*$M$25,E15*$O$25))</f>
        <v>1435</v>
      </c>
      <c r="L15" s="71">
        <v>130</v>
      </c>
      <c r="M15" s="64" t="s">
        <v>66</v>
      </c>
      <c r="N15" s="68" t="s">
        <v>69</v>
      </c>
    </row>
    <row r="16" spans="1:14" ht="18" customHeight="1" outlineLevel="1" thickTop="1">
      <c r="A16" s="83"/>
      <c r="B16" s="83"/>
      <c r="C16" s="86" t="s">
        <v>205</v>
      </c>
      <c r="D16" s="85"/>
      <c r="E16" s="92">
        <f>SUBTOTAL(9,E14:E15)</f>
        <v>173</v>
      </c>
      <c r="F16" s="1"/>
      <c r="G16" s="1"/>
      <c r="H16" s="7"/>
      <c r="I16" s="88">
        <f>SUBTOTAL(9,I14:I15)</f>
        <v>6055</v>
      </c>
      <c r="L16" s="72"/>
      <c r="M16" s="14"/>
      <c r="N16" s="72"/>
    </row>
    <row r="17" spans="1:15" ht="15" customHeight="1">
      <c r="A17" s="75"/>
      <c r="B17" s="75"/>
      <c r="C17" s="76" t="s">
        <v>206</v>
      </c>
      <c r="D17" s="77"/>
      <c r="E17" s="94">
        <f>SUBTOTAL(9,E5:E15)</f>
        <v>723</v>
      </c>
      <c r="F17" s="78"/>
      <c r="G17" s="78"/>
      <c r="H17" s="77"/>
      <c r="I17" s="89">
        <f>SUBTOTAL(9,I5:I15)</f>
        <v>18085</v>
      </c>
      <c r="L17" s="72"/>
      <c r="M17" s="14"/>
      <c r="N17" s="72"/>
    </row>
    <row r="18" spans="1:15">
      <c r="C18" s="2"/>
      <c r="D18" s="1"/>
      <c r="E18" s="1"/>
      <c r="F18" s="1"/>
      <c r="G18" s="1"/>
      <c r="H18" s="1"/>
      <c r="I18" s="1"/>
    </row>
    <row r="19" spans="1:15">
      <c r="C19" s="2"/>
      <c r="D19" s="7">
        <v>40739</v>
      </c>
      <c r="G19" s="1"/>
      <c r="H19" s="1"/>
    </row>
    <row r="20" spans="1:15">
      <c r="C20" s="2"/>
      <c r="D20" s="1"/>
      <c r="G20" s="1"/>
      <c r="H20" s="1"/>
    </row>
    <row r="21" spans="1:15" ht="13.5" customHeight="1">
      <c r="C21" s="2"/>
      <c r="D21" s="1"/>
      <c r="G21" s="1"/>
      <c r="H21" s="1"/>
    </row>
    <row r="22" spans="1:15" ht="13.5" thickBot="1">
      <c r="C22" s="2"/>
      <c r="D22" s="1"/>
      <c r="G22" s="1"/>
      <c r="H22" s="1"/>
    </row>
    <row r="23" spans="1:15" ht="13.5" thickBot="1">
      <c r="C23" s="2"/>
      <c r="D23" s="1"/>
      <c r="G23" s="1"/>
      <c r="H23" s="1"/>
      <c r="L23" s="62" t="s">
        <v>57</v>
      </c>
      <c r="M23" s="62" t="s">
        <v>67</v>
      </c>
      <c r="N23" s="62" t="s">
        <v>68</v>
      </c>
      <c r="O23" s="62" t="s">
        <v>69</v>
      </c>
    </row>
    <row r="24" spans="1:15" ht="13.5" thickBot="1">
      <c r="C24" s="2"/>
      <c r="D24" s="1"/>
      <c r="G24" s="1"/>
      <c r="H24" s="1"/>
      <c r="L24" s="62" t="s">
        <v>51</v>
      </c>
      <c r="M24" s="62" t="s">
        <v>71</v>
      </c>
      <c r="N24" s="62" t="s">
        <v>72</v>
      </c>
      <c r="O24" s="62" t="s">
        <v>73</v>
      </c>
    </row>
    <row r="25" spans="1:15" ht="13.5" thickBot="1">
      <c r="L25" s="62" t="s">
        <v>70</v>
      </c>
      <c r="M25" s="62">
        <v>25</v>
      </c>
      <c r="N25" s="62">
        <v>35</v>
      </c>
      <c r="O25" s="62">
        <v>20</v>
      </c>
    </row>
    <row r="26" spans="1:15">
      <c r="F26" s="1"/>
    </row>
    <row r="27" spans="1:15">
      <c r="F27" s="1"/>
    </row>
    <row r="28" spans="1:15">
      <c r="F28" s="1"/>
    </row>
    <row r="29" spans="1:15">
      <c r="F29" s="1"/>
    </row>
    <row r="30" spans="1:15">
      <c r="F30" s="1"/>
    </row>
    <row r="1004" spans="1:1">
      <c r="A1004" t="s">
        <v>201</v>
      </c>
    </row>
  </sheetData>
  <sortState ref="B5:I13">
    <sortCondition ref="C5:C13"/>
    <sortCondition descending="1" ref="E5:E13"/>
  </sortState>
  <mergeCells count="1">
    <mergeCell ref="A2:I2"/>
  </mergeCells>
  <phoneticPr fontId="2" type="noConversion"/>
  <conditionalFormatting sqref="F5:F17">
    <cfRule type="containsText" dxfId="2" priority="1" operator="containsText" text="Alta">
      <formula>NOT(ISERROR(SEARCH("Alta",F5)))</formula>
    </cfRule>
    <cfRule type="containsText" dxfId="1" priority="2" operator="containsText" text="Normal">
      <formula>NOT(ISERROR(SEARCH("Normal",F5)))</formula>
    </cfRule>
    <cfRule type="containsText" dxfId="0" priority="3" operator="containsText" text="Baja">
      <formula>NOT(ISERROR(SEARCH("Baja",F5)))</formula>
    </cfRule>
  </conditionalFormatting>
  <pageMargins left="0.75" right="0.75" top="1" bottom="1" header="0" footer="0"/>
  <pageSetup paperSize="9" orientation="portrait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5"/>
  </sheetPr>
  <dimension ref="A2:D1005"/>
  <sheetViews>
    <sheetView workbookViewId="0">
      <selection activeCell="E9" sqref="E9"/>
    </sheetView>
  </sheetViews>
  <sheetFormatPr baseColWidth="10" defaultRowHeight="12.75" outlineLevelRow="2"/>
  <cols>
    <col min="1" max="1" width="22.5703125" customWidth="1"/>
    <col min="3" max="3" width="15.28515625" customWidth="1"/>
    <col min="4" max="4" width="11.85546875" customWidth="1"/>
  </cols>
  <sheetData>
    <row r="2" spans="1:4" ht="15">
      <c r="A2" s="229" t="s">
        <v>200</v>
      </c>
      <c r="B2" s="229"/>
      <c r="C2" s="229"/>
      <c r="D2" s="229"/>
    </row>
    <row r="4" spans="1:4" ht="15" customHeight="1">
      <c r="A4" s="101" t="s">
        <v>74</v>
      </c>
      <c r="B4" s="102" t="s">
        <v>75</v>
      </c>
      <c r="C4" s="102" t="s">
        <v>76</v>
      </c>
      <c r="D4" s="102" t="s">
        <v>8</v>
      </c>
    </row>
    <row r="5" spans="1:4" ht="14.25" customHeight="1" outlineLevel="2">
      <c r="A5" s="111" t="s">
        <v>82</v>
      </c>
      <c r="B5" s="112" t="s">
        <v>83</v>
      </c>
      <c r="C5" s="112" t="s">
        <v>78</v>
      </c>
      <c r="D5" s="112">
        <v>12</v>
      </c>
    </row>
    <row r="6" spans="1:4" outlineLevel="2">
      <c r="A6" s="111" t="s">
        <v>82</v>
      </c>
      <c r="B6" s="112" t="s">
        <v>85</v>
      </c>
      <c r="C6" s="112" t="s">
        <v>79</v>
      </c>
      <c r="D6" s="112">
        <v>17</v>
      </c>
    </row>
    <row r="7" spans="1:4" outlineLevel="1">
      <c r="A7" s="105" t="s">
        <v>207</v>
      </c>
      <c r="B7" s="106"/>
      <c r="C7" s="106"/>
      <c r="D7" s="106">
        <f>SUBTOTAL(9,D5:D6)</f>
        <v>29</v>
      </c>
    </row>
    <row r="8" spans="1:4" outlineLevel="2">
      <c r="A8" s="111" t="s">
        <v>80</v>
      </c>
      <c r="B8" s="112" t="s">
        <v>81</v>
      </c>
      <c r="C8" s="112" t="s">
        <v>78</v>
      </c>
      <c r="D8" s="112">
        <v>15</v>
      </c>
    </row>
    <row r="9" spans="1:4" outlineLevel="2">
      <c r="A9" s="111" t="s">
        <v>80</v>
      </c>
      <c r="B9" s="112" t="s">
        <v>84</v>
      </c>
      <c r="C9" s="112" t="s">
        <v>78</v>
      </c>
      <c r="D9" s="112">
        <v>16</v>
      </c>
    </row>
    <row r="10" spans="1:4" outlineLevel="1">
      <c r="A10" s="105" t="s">
        <v>208</v>
      </c>
      <c r="B10" s="106"/>
      <c r="C10" s="106"/>
      <c r="D10" s="106">
        <f>SUBTOTAL(9,D8:D9)</f>
        <v>31</v>
      </c>
    </row>
    <row r="11" spans="1:4" outlineLevel="2">
      <c r="A11" s="111" t="s">
        <v>86</v>
      </c>
      <c r="B11" s="113" t="s">
        <v>87</v>
      </c>
      <c r="C11" s="112" t="s">
        <v>79</v>
      </c>
      <c r="D11" s="112">
        <v>4</v>
      </c>
    </row>
    <row r="12" spans="1:4" outlineLevel="2">
      <c r="A12" s="111" t="s">
        <v>86</v>
      </c>
      <c r="B12" s="111" t="s">
        <v>88</v>
      </c>
      <c r="C12" s="112" t="s">
        <v>79</v>
      </c>
      <c r="D12" s="112">
        <v>12</v>
      </c>
    </row>
    <row r="13" spans="1:4" outlineLevel="1">
      <c r="A13" s="105" t="s">
        <v>209</v>
      </c>
      <c r="B13" s="107"/>
      <c r="C13" s="106"/>
      <c r="D13" s="106">
        <f>SUBTOTAL(9,D11:D12)</f>
        <v>16</v>
      </c>
    </row>
    <row r="14" spans="1:4" outlineLevel="2">
      <c r="A14" s="111" t="s">
        <v>77</v>
      </c>
      <c r="B14" s="111">
        <v>307</v>
      </c>
      <c r="C14" s="112" t="s">
        <v>79</v>
      </c>
      <c r="D14" s="112">
        <v>9</v>
      </c>
    </row>
    <row r="15" spans="1:4" outlineLevel="2">
      <c r="A15" s="111" t="s">
        <v>77</v>
      </c>
      <c r="B15" s="111">
        <v>406</v>
      </c>
      <c r="C15" s="112" t="s">
        <v>79</v>
      </c>
      <c r="D15" s="112">
        <v>12</v>
      </c>
    </row>
    <row r="16" spans="1:4" outlineLevel="2">
      <c r="A16" s="3" t="s">
        <v>77</v>
      </c>
      <c r="B16" s="3">
        <v>206</v>
      </c>
      <c r="C16" t="s">
        <v>78</v>
      </c>
      <c r="D16">
        <v>20</v>
      </c>
    </row>
    <row r="17" spans="1:4" outlineLevel="1">
      <c r="A17" s="105" t="s">
        <v>210</v>
      </c>
      <c r="B17" s="107"/>
      <c r="C17" s="106"/>
      <c r="D17" s="106">
        <f>SUBTOTAL(9,D14:D16)</f>
        <v>41</v>
      </c>
    </row>
    <row r="18" spans="1:4" ht="13.5" thickBot="1">
      <c r="A18" s="108" t="s">
        <v>206</v>
      </c>
      <c r="B18" s="109"/>
      <c r="C18" s="110"/>
      <c r="D18" s="110">
        <f>SUBTOTAL(9,D5:D16)</f>
        <v>117</v>
      </c>
    </row>
    <row r="19" spans="1:4">
      <c r="A19" s="3"/>
      <c r="C19" s="4"/>
    </row>
    <row r="20" spans="1:4">
      <c r="A20" s="3"/>
      <c r="C20" s="4"/>
    </row>
    <row r="21" spans="1:4">
      <c r="A21" s="98"/>
      <c r="B21" s="99"/>
      <c r="C21" s="104" t="s">
        <v>91</v>
      </c>
      <c r="D21" s="73" t="s">
        <v>92</v>
      </c>
    </row>
    <row r="22" spans="1:4">
      <c r="A22" s="98" t="s">
        <v>89</v>
      </c>
      <c r="B22" s="99"/>
      <c r="C22" s="103">
        <f>SUMIF(C5:C16,"Importado",D5:D16)</f>
        <v>54</v>
      </c>
      <c r="D22" s="100">
        <f>COUNTIF(C5:C16,"importado")</f>
        <v>5</v>
      </c>
    </row>
    <row r="23" spans="1:4">
      <c r="A23" s="99" t="s">
        <v>90</v>
      </c>
      <c r="B23" s="99"/>
      <c r="C23" s="103">
        <f>SUMIF(C5:C16,"Nacional",D5:D16)</f>
        <v>63</v>
      </c>
      <c r="D23" s="100">
        <f>COUNTIF(C5:C16,"Nacional")</f>
        <v>4</v>
      </c>
    </row>
    <row r="25" spans="1:4">
      <c r="A25" s="13" t="s">
        <v>211</v>
      </c>
    </row>
    <row r="1005" spans="1:1">
      <c r="A1005" t="s">
        <v>201</v>
      </c>
    </row>
  </sheetData>
  <sortState ref="A5:D13">
    <sortCondition ref="A5:A13"/>
    <sortCondition ref="D5:D13"/>
  </sortState>
  <mergeCells count="1">
    <mergeCell ref="A2:D2"/>
  </mergeCells>
  <phoneticPr fontId="2" type="noConversion"/>
  <dataValidations count="1">
    <dataValidation type="list" errorStyle="information" allowBlank="1" showInputMessage="1" showErrorMessage="1" errorTitle="Marca no disponible" error="La marca ingresada es incorrecta o no se encuentra disponible en este momento" promptTitle="Ingresar la marca" prompt="Solo entre las marcas disponibles" sqref="A5:A6 A8:A9 A11:A12 A14:A16">
      <formula1>"Chevrolet,Fiat,Ford,Peugeot"</formula1>
    </dataValidation>
  </dataValidations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</sheetPr>
  <dimension ref="A1:M1000"/>
  <sheetViews>
    <sheetView workbookViewId="0">
      <selection activeCell="H13" sqref="H13"/>
    </sheetView>
  </sheetViews>
  <sheetFormatPr baseColWidth="10" defaultRowHeight="12.75"/>
  <cols>
    <col min="1" max="1" width="9.85546875" customWidth="1"/>
    <col min="2" max="2" width="15.7109375" customWidth="1"/>
    <col min="3" max="4" width="12.7109375" customWidth="1"/>
    <col min="5" max="5" width="18" customWidth="1"/>
    <col min="6" max="6" width="13.28515625" customWidth="1"/>
    <col min="7" max="7" width="11.140625" customWidth="1"/>
    <col min="10" max="10" width="14.5703125" customWidth="1"/>
    <col min="11" max="11" width="15.5703125" customWidth="1"/>
    <col min="12" max="12" width="14" customWidth="1"/>
    <col min="13" max="13" width="8.7109375" customWidth="1"/>
  </cols>
  <sheetData>
    <row r="1" spans="1:13" ht="39.75" customHeight="1">
      <c r="A1" s="230" t="s">
        <v>93</v>
      </c>
      <c r="B1" s="230"/>
      <c r="C1" s="230"/>
      <c r="D1" s="230"/>
      <c r="E1" s="230"/>
      <c r="F1" s="230"/>
      <c r="G1" s="230"/>
    </row>
    <row r="2" spans="1:13" ht="15" customHeight="1">
      <c r="A2" s="231" t="s">
        <v>94</v>
      </c>
      <c r="B2" s="231"/>
      <c r="C2" s="231"/>
      <c r="D2" s="231"/>
      <c r="E2" s="231"/>
      <c r="F2" s="231"/>
      <c r="G2" s="231"/>
    </row>
    <row r="3" spans="1:13" ht="18.75" customHeight="1">
      <c r="D3" s="5"/>
      <c r="G3" s="2"/>
    </row>
    <row r="4" spans="1:13" ht="28.5" customHeight="1" thickBot="1">
      <c r="A4" s="126" t="s">
        <v>95</v>
      </c>
      <c r="B4" s="126" t="s">
        <v>96</v>
      </c>
      <c r="C4" s="126" t="s">
        <v>97</v>
      </c>
      <c r="D4" s="126" t="s">
        <v>98</v>
      </c>
      <c r="E4" s="126" t="s">
        <v>99</v>
      </c>
      <c r="F4" s="126" t="s">
        <v>100</v>
      </c>
      <c r="G4" s="126" t="s">
        <v>101</v>
      </c>
      <c r="J4" s="115" t="s">
        <v>97</v>
      </c>
      <c r="K4" s="115" t="s">
        <v>111</v>
      </c>
      <c r="L4" s="115" t="s">
        <v>113</v>
      </c>
      <c r="M4" s="115" t="s">
        <v>112</v>
      </c>
    </row>
    <row r="5" spans="1:13" ht="14.25" thickTop="1" thickBot="1">
      <c r="A5" s="127">
        <v>1</v>
      </c>
      <c r="B5" s="128" t="str">
        <f>VLOOKUP(A5,J12:L21,2,0)</f>
        <v>ACER</v>
      </c>
      <c r="C5" s="129" t="s">
        <v>111</v>
      </c>
      <c r="D5" s="130">
        <f>VLOOKUP(A5,J12:L21,3,0)</f>
        <v>2129</v>
      </c>
      <c r="E5" s="131">
        <f>D5/HLOOKUP(C5,$J$4:$M$6,2,FALSE)</f>
        <v>354.83333333333331</v>
      </c>
      <c r="F5" s="131">
        <f>E5*HLOOKUP(C5,$K$4:$M$6,3,0)</f>
        <v>25.90283333333333</v>
      </c>
      <c r="G5" s="132">
        <f>SUM(E5+F5)</f>
        <v>380.73616666666663</v>
      </c>
      <c r="J5" s="9" t="s">
        <v>118</v>
      </c>
      <c r="K5" s="9">
        <v>6</v>
      </c>
      <c r="L5" s="9">
        <v>3</v>
      </c>
      <c r="M5" s="9">
        <v>12</v>
      </c>
    </row>
    <row r="6" spans="1:13" ht="13.5" thickBot="1">
      <c r="A6" s="133">
        <v>2</v>
      </c>
      <c r="B6" s="118" t="str">
        <f t="shared" ref="B6:B14" si="0">VLOOKUP(A6,J13:L22,2,0)</f>
        <v>IBM</v>
      </c>
      <c r="C6" s="119" t="s">
        <v>112</v>
      </c>
      <c r="D6" s="120">
        <f t="shared" ref="D6:D14" si="1">VLOOKUP(A6,J13:L22,3,0)</f>
        <v>2100</v>
      </c>
      <c r="E6" s="121">
        <f t="shared" ref="E6:E14" si="2">D6/HLOOKUP(C6,$J$4:$M$6,2,FALSE)</f>
        <v>175</v>
      </c>
      <c r="F6" s="121">
        <f t="shared" ref="F6:F14" si="3">E6*HLOOKUP(C6,$K$4:$M$6,3,0)</f>
        <v>21.979999999999997</v>
      </c>
      <c r="G6" s="134">
        <f t="shared" ref="G6:G14" si="4">SUM(E6+F6)</f>
        <v>196.98</v>
      </c>
      <c r="J6" s="9" t="s">
        <v>119</v>
      </c>
      <c r="K6" s="10">
        <v>7.2999999999999995E-2</v>
      </c>
      <c r="L6" s="10">
        <v>3.56E-2</v>
      </c>
      <c r="M6" s="10">
        <v>0.12559999999999999</v>
      </c>
    </row>
    <row r="7" spans="1:13" ht="13.5" thickBot="1">
      <c r="A7" s="133">
        <v>3</v>
      </c>
      <c r="B7" s="118" t="str">
        <f t="shared" si="0"/>
        <v>EPSON</v>
      </c>
      <c r="C7" s="119" t="s">
        <v>113</v>
      </c>
      <c r="D7" s="120">
        <f t="shared" si="1"/>
        <v>2150</v>
      </c>
      <c r="E7" s="121">
        <f t="shared" si="2"/>
        <v>716.66666666666663</v>
      </c>
      <c r="F7" s="121">
        <f t="shared" si="3"/>
        <v>25.513333333333332</v>
      </c>
      <c r="G7" s="134">
        <f t="shared" si="4"/>
        <v>742.18</v>
      </c>
      <c r="J7" s="14"/>
      <c r="K7" s="14"/>
      <c r="L7" s="15"/>
    </row>
    <row r="8" spans="1:13" ht="13.5" thickBot="1">
      <c r="A8" s="133">
        <v>4</v>
      </c>
      <c r="B8" s="118" t="str">
        <f t="shared" si="0"/>
        <v>HP</v>
      </c>
      <c r="C8" s="123" t="s">
        <v>111</v>
      </c>
      <c r="D8" s="120">
        <f t="shared" si="1"/>
        <v>1895</v>
      </c>
      <c r="E8" s="121">
        <f t="shared" si="2"/>
        <v>315.83333333333331</v>
      </c>
      <c r="F8" s="121">
        <f t="shared" si="3"/>
        <v>23.055833333333329</v>
      </c>
      <c r="G8" s="134">
        <f t="shared" si="4"/>
        <v>338.88916666666665</v>
      </c>
      <c r="H8" s="1"/>
      <c r="I8" s="1"/>
    </row>
    <row r="9" spans="1:13" ht="13.5" thickBot="1">
      <c r="A9" s="133">
        <v>5</v>
      </c>
      <c r="B9" s="118" t="str">
        <f t="shared" si="0"/>
        <v>TEXAS</v>
      </c>
      <c r="C9" s="123" t="s">
        <v>113</v>
      </c>
      <c r="D9" s="120">
        <f t="shared" si="1"/>
        <v>1678</v>
      </c>
      <c r="E9" s="121">
        <f t="shared" si="2"/>
        <v>559.33333333333337</v>
      </c>
      <c r="F9" s="121">
        <f t="shared" si="3"/>
        <v>19.912266666666667</v>
      </c>
      <c r="G9" s="134">
        <f t="shared" si="4"/>
        <v>579.24560000000008</v>
      </c>
      <c r="H9" s="1"/>
      <c r="I9" s="1"/>
    </row>
    <row r="10" spans="1:13" ht="13.5" thickBot="1">
      <c r="A10" s="133">
        <v>6</v>
      </c>
      <c r="B10" s="118" t="str">
        <f t="shared" si="0"/>
        <v>SAMSUNG</v>
      </c>
      <c r="C10" s="123" t="s">
        <v>113</v>
      </c>
      <c r="D10" s="120">
        <f t="shared" si="1"/>
        <v>1689</v>
      </c>
      <c r="E10" s="121">
        <f t="shared" si="2"/>
        <v>563</v>
      </c>
      <c r="F10" s="121">
        <f t="shared" si="3"/>
        <v>20.0428</v>
      </c>
      <c r="G10" s="134">
        <f t="shared" si="4"/>
        <v>583.04279999999994</v>
      </c>
      <c r="H10" s="1"/>
      <c r="I10" s="1"/>
    </row>
    <row r="11" spans="1:13" ht="13.5" thickBot="1">
      <c r="A11" s="133">
        <v>7</v>
      </c>
      <c r="B11" s="118" t="str">
        <f t="shared" si="0"/>
        <v>TOSHIBA</v>
      </c>
      <c r="C11" s="123" t="s">
        <v>113</v>
      </c>
      <c r="D11" s="120">
        <f t="shared" si="1"/>
        <v>1586</v>
      </c>
      <c r="E11" s="121">
        <f t="shared" si="2"/>
        <v>528.66666666666663</v>
      </c>
      <c r="F11" s="121">
        <f t="shared" si="3"/>
        <v>18.820533333333334</v>
      </c>
      <c r="G11" s="134">
        <f t="shared" si="4"/>
        <v>547.48719999999992</v>
      </c>
      <c r="H11" s="1"/>
      <c r="I11" s="1"/>
      <c r="J11" s="145" t="s">
        <v>95</v>
      </c>
      <c r="K11" s="145" t="s">
        <v>96</v>
      </c>
      <c r="L11" s="145" t="s">
        <v>98</v>
      </c>
    </row>
    <row r="12" spans="1:13" ht="13.5" thickBot="1">
      <c r="A12" s="133">
        <v>8</v>
      </c>
      <c r="B12" s="118" t="str">
        <f t="shared" si="0"/>
        <v>COMPAQ</v>
      </c>
      <c r="C12" s="123" t="s">
        <v>111</v>
      </c>
      <c r="D12" s="120">
        <f t="shared" si="1"/>
        <v>2541</v>
      </c>
      <c r="E12" s="121">
        <f t="shared" si="2"/>
        <v>423.5</v>
      </c>
      <c r="F12" s="121">
        <f t="shared" si="3"/>
        <v>30.915499999999998</v>
      </c>
      <c r="G12" s="134">
        <f t="shared" si="4"/>
        <v>454.41550000000001</v>
      </c>
      <c r="H12" s="1"/>
      <c r="I12" s="1"/>
      <c r="J12" s="9">
        <v>1</v>
      </c>
      <c r="K12" s="9" t="s">
        <v>202</v>
      </c>
      <c r="L12" s="114">
        <v>2129</v>
      </c>
    </row>
    <row r="13" spans="1:13" ht="13.5" thickBot="1">
      <c r="A13" s="133">
        <v>9</v>
      </c>
      <c r="B13" s="118" t="str">
        <f t="shared" si="0"/>
        <v>NORTON</v>
      </c>
      <c r="C13" s="123" t="s">
        <v>113</v>
      </c>
      <c r="D13" s="120">
        <f t="shared" si="1"/>
        <v>210</v>
      </c>
      <c r="E13" s="121">
        <f t="shared" si="2"/>
        <v>70</v>
      </c>
      <c r="F13" s="121">
        <f t="shared" si="3"/>
        <v>2.492</v>
      </c>
      <c r="G13" s="134">
        <f t="shared" si="4"/>
        <v>72.492000000000004</v>
      </c>
      <c r="H13" s="1"/>
      <c r="I13" s="1"/>
      <c r="J13" s="9">
        <v>2</v>
      </c>
      <c r="K13" s="9" t="s">
        <v>102</v>
      </c>
      <c r="L13" s="114">
        <v>2100</v>
      </c>
    </row>
    <row r="14" spans="1:13" ht="13.5" thickBot="1">
      <c r="A14" s="135">
        <v>10</v>
      </c>
      <c r="B14" s="136" t="str">
        <f t="shared" si="0"/>
        <v>THUNDER BYTE</v>
      </c>
      <c r="C14" s="137" t="s">
        <v>112</v>
      </c>
      <c r="D14" s="138">
        <f t="shared" si="1"/>
        <v>156</v>
      </c>
      <c r="E14" s="139">
        <f t="shared" si="2"/>
        <v>13</v>
      </c>
      <c r="F14" s="139">
        <f t="shared" si="3"/>
        <v>1.6327999999999998</v>
      </c>
      <c r="G14" s="140">
        <f t="shared" si="4"/>
        <v>14.6328</v>
      </c>
      <c r="H14" s="1"/>
      <c r="I14" s="1"/>
      <c r="J14" s="9">
        <v>3</v>
      </c>
      <c r="K14" s="9" t="s">
        <v>103</v>
      </c>
      <c r="L14" s="114">
        <v>2150</v>
      </c>
    </row>
    <row r="15" spans="1:13" ht="13.5" thickTop="1">
      <c r="C15" s="4"/>
      <c r="D15" s="1"/>
      <c r="G15" s="1"/>
      <c r="H15" s="1"/>
      <c r="I15" s="1"/>
      <c r="J15" s="9">
        <v>4</v>
      </c>
      <c r="K15" s="9" t="s">
        <v>104</v>
      </c>
      <c r="L15" s="114">
        <v>1895</v>
      </c>
    </row>
    <row r="16" spans="1:13" ht="13.5" thickBot="1">
      <c r="C16" s="141" t="s">
        <v>117</v>
      </c>
      <c r="D16" s="116">
        <f>SUM(D5:D14)</f>
        <v>16134</v>
      </c>
      <c r="E16" s="116">
        <f>SUM(E5:E14)</f>
        <v>3719.833333333333</v>
      </c>
      <c r="F16" s="116">
        <f>SUM(F5:F14)</f>
        <v>190.2679</v>
      </c>
      <c r="G16" s="117">
        <f>SUM(G5:G14)</f>
        <v>3910.1012333333329</v>
      </c>
      <c r="H16" s="1"/>
      <c r="I16" s="1"/>
      <c r="J16" s="9">
        <v>5</v>
      </c>
      <c r="K16" s="9" t="s">
        <v>105</v>
      </c>
      <c r="L16" s="114">
        <v>1678</v>
      </c>
    </row>
    <row r="17" spans="3:12" ht="13.5" thickBot="1">
      <c r="C17" s="142" t="s">
        <v>114</v>
      </c>
      <c r="D17" s="121">
        <f>MAX(D5:D14)</f>
        <v>2541</v>
      </c>
      <c r="E17" s="121">
        <f>MAX(E5:E14)</f>
        <v>716.66666666666663</v>
      </c>
      <c r="F17" s="121">
        <f>MAX(F5:F14)</f>
        <v>30.915499999999998</v>
      </c>
      <c r="G17" s="122">
        <f>MAX(G5:G14)</f>
        <v>742.18</v>
      </c>
      <c r="H17" s="1"/>
      <c r="I17" s="1"/>
      <c r="J17" s="9">
        <v>6</v>
      </c>
      <c r="K17" s="9" t="s">
        <v>106</v>
      </c>
      <c r="L17" s="114">
        <v>1689</v>
      </c>
    </row>
    <row r="18" spans="3:12" ht="13.5" thickBot="1">
      <c r="C18" s="142" t="s">
        <v>115</v>
      </c>
      <c r="D18" s="121">
        <f>MIN(D5:D14)</f>
        <v>156</v>
      </c>
      <c r="E18" s="121">
        <f>MIN(E5:E14)</f>
        <v>13</v>
      </c>
      <c r="F18" s="143">
        <f>MIN(F5:F14)</f>
        <v>1.6327999999999998</v>
      </c>
      <c r="G18" s="122">
        <f>MIN(G5:G14)</f>
        <v>14.6328</v>
      </c>
      <c r="H18" s="1"/>
      <c r="I18" s="1"/>
      <c r="J18" s="9">
        <v>7</v>
      </c>
      <c r="K18" s="9" t="s">
        <v>107</v>
      </c>
      <c r="L18" s="114">
        <v>1586</v>
      </c>
    </row>
    <row r="19" spans="3:12">
      <c r="C19" s="144" t="s">
        <v>116</v>
      </c>
      <c r="D19" s="124">
        <f>AVERAGE(D5:D14)</f>
        <v>1613.4</v>
      </c>
      <c r="E19" s="124">
        <f>AVERAGE(E5:E14)</f>
        <v>371.98333333333329</v>
      </c>
      <c r="F19" s="124">
        <f>AVERAGE(F5:F14)</f>
        <v>19.026789999999998</v>
      </c>
      <c r="G19" s="125">
        <f>AVERAGE(G5:G14)</f>
        <v>391.0101233333333</v>
      </c>
      <c r="H19" s="1"/>
      <c r="J19" s="9">
        <v>8</v>
      </c>
      <c r="K19" s="9" t="s">
        <v>108</v>
      </c>
      <c r="L19" s="114">
        <v>2541</v>
      </c>
    </row>
    <row r="20" spans="3:12">
      <c r="J20" s="9">
        <v>9</v>
      </c>
      <c r="K20" s="9" t="s">
        <v>109</v>
      </c>
      <c r="L20" s="114">
        <v>210</v>
      </c>
    </row>
    <row r="21" spans="3:12">
      <c r="J21" s="9">
        <v>10</v>
      </c>
      <c r="K21" s="9" t="s">
        <v>110</v>
      </c>
      <c r="L21" s="114">
        <v>156</v>
      </c>
    </row>
    <row r="1000" spans="1:1">
      <c r="A1000" t="s">
        <v>201</v>
      </c>
    </row>
  </sheetData>
  <mergeCells count="2">
    <mergeCell ref="A1:G1"/>
    <mergeCell ref="A2:G2"/>
  </mergeCells>
  <phoneticPr fontId="2" type="noConversion"/>
  <dataValidations count="4">
    <dataValidation type="whole" errorStyle="warning" allowBlank="1" showInputMessage="1" showErrorMessage="1" errorTitle="Código erróneo" error="El código ingresado no es correcto" promptTitle="Seleccione un código" prompt="Sólo entre 1 y 50" sqref="A5:A14">
      <formula1>1</formula1>
      <formula2>50</formula2>
    </dataValidation>
    <dataValidation type="textLength" allowBlank="1" showInputMessage="1" showErrorMessage="1" errorTitle="ERROR" error="Por favor ingrese el producto nuevamente sin sobrepasar los 15 caracteres" promptTitle="Ingrese el producto" prompt="NO superar los 15 caracteres" sqref="B6:B14">
      <formula1>1</formula1>
      <formula2>15</formula2>
    </dataValidation>
    <dataValidation type="textLength" allowBlank="1" showInputMessage="1" showErrorMessage="1" errorTitle="ERROR" error="Por favor ingrese el producto nuevamente sin sobrepasar los 15 caracteres" promptTitle="ingrese producto" prompt="NO superar los 15 caracteres" sqref="B5">
      <formula1>1</formula1>
      <formula2>15</formula2>
    </dataValidation>
    <dataValidation type="list" allowBlank="1" showInputMessage="1" showErrorMessage="1" errorTitle="ERROR" error="Ese plan no forma parte de la lista. Vuelva a intentarlo." promptTitle="Indique su PLAN" prompt="Elegir entre los planes de la lista" sqref="C5:C14">
      <formula1>"PLAN1,PLAN2,PLAN3"</formula1>
    </dataValidation>
  </dataValidations>
  <pageMargins left="0.75" right="0.75" top="1" bottom="1" header="0" footer="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51"/>
  </sheetPr>
  <dimension ref="A1:J1000"/>
  <sheetViews>
    <sheetView workbookViewId="0">
      <selection activeCell="L17" sqref="L17"/>
    </sheetView>
  </sheetViews>
  <sheetFormatPr baseColWidth="10" defaultRowHeight="12.75"/>
  <cols>
    <col min="1" max="1" width="12.42578125" customWidth="1"/>
    <col min="2" max="2" width="9.28515625" customWidth="1"/>
    <col min="3" max="3" width="12.5703125" customWidth="1"/>
    <col min="4" max="4" width="14.85546875" customWidth="1"/>
    <col min="5" max="5" width="13.42578125" customWidth="1"/>
    <col min="6" max="6" width="11.28515625" customWidth="1"/>
    <col min="7" max="7" width="12.7109375" customWidth="1"/>
    <col min="8" max="8" width="10" customWidth="1"/>
    <col min="9" max="9" width="14" customWidth="1"/>
    <col min="10" max="10" width="15.7109375" customWidth="1"/>
  </cols>
  <sheetData>
    <row r="1" spans="1:10" ht="43.5" customHeight="1">
      <c r="A1" s="148" t="s">
        <v>120</v>
      </c>
      <c r="B1" s="157" t="s">
        <v>121</v>
      </c>
      <c r="C1" s="148" t="s">
        <v>122</v>
      </c>
      <c r="D1" s="148" t="s">
        <v>123</v>
      </c>
      <c r="E1" s="148" t="s">
        <v>124</v>
      </c>
      <c r="F1" s="148" t="s">
        <v>212</v>
      </c>
      <c r="G1" s="148" t="s">
        <v>125</v>
      </c>
      <c r="H1" s="148" t="s">
        <v>126</v>
      </c>
      <c r="I1" s="148" t="s">
        <v>127</v>
      </c>
      <c r="J1" s="148" t="s">
        <v>128</v>
      </c>
    </row>
    <row r="2" spans="1:10">
      <c r="A2" s="149">
        <v>1</v>
      </c>
      <c r="B2" s="150" t="s">
        <v>129</v>
      </c>
      <c r="C2" s="151">
        <f>VLOOKUP(B2,$H$14:$J$21,2,0)</f>
        <v>140</v>
      </c>
      <c r="D2" s="152">
        <f>VLOOKUP(B2,$H$14:$J$21,3,0)</f>
        <v>13</v>
      </c>
      <c r="E2" s="152">
        <f>(C2*$A$20)</f>
        <v>4.2</v>
      </c>
      <c r="F2" s="155">
        <v>8</v>
      </c>
      <c r="G2" s="152">
        <f>IF(F2&gt;20,(F2-20)*$C$16,$C$15)</f>
        <v>0</v>
      </c>
      <c r="H2" s="155" t="s">
        <v>133</v>
      </c>
      <c r="I2" s="152">
        <f>IF(H2="S",C2*$F$15,$F$16)</f>
        <v>56</v>
      </c>
      <c r="J2" s="152">
        <f>(C2+D2+E2+G2)-I2</f>
        <v>101.19999999999999</v>
      </c>
    </row>
    <row r="3" spans="1:10" ht="15" customHeight="1">
      <c r="A3" s="149">
        <v>2</v>
      </c>
      <c r="B3" s="150" t="s">
        <v>129</v>
      </c>
      <c r="C3" s="153">
        <f t="shared" ref="C3:C11" si="0">VLOOKUP(B3,$H$14:$J$21,2,0)</f>
        <v>140</v>
      </c>
      <c r="D3" s="153">
        <f t="shared" ref="D3:D11" si="1">VLOOKUP(B3,$H$14:$J$21,3,0)</f>
        <v>13</v>
      </c>
      <c r="E3" s="153">
        <f t="shared" ref="E3:E11" si="2">(C3*$A$20)</f>
        <v>4.2</v>
      </c>
      <c r="F3" s="156">
        <v>4</v>
      </c>
      <c r="G3" s="153">
        <f t="shared" ref="G3:G11" si="3">IF(F3&gt;20,(F3-20)*$C$16,$C$15)</f>
        <v>0</v>
      </c>
      <c r="H3" s="156" t="s">
        <v>133</v>
      </c>
      <c r="I3" s="153">
        <f t="shared" ref="I3:I11" si="4">IF(H3="S",C3*$F$15,$F$16)</f>
        <v>56</v>
      </c>
      <c r="J3" s="153">
        <f t="shared" ref="J3:J11" si="5">(C3+D3+E3+G3)-I3</f>
        <v>101.19999999999999</v>
      </c>
    </row>
    <row r="4" spans="1:10">
      <c r="A4" s="149">
        <v>3</v>
      </c>
      <c r="B4" s="150" t="s">
        <v>130</v>
      </c>
      <c r="C4" s="151">
        <f t="shared" si="0"/>
        <v>280</v>
      </c>
      <c r="D4" s="152">
        <f t="shared" si="1"/>
        <v>13</v>
      </c>
      <c r="E4" s="152">
        <f t="shared" si="2"/>
        <v>8.4</v>
      </c>
      <c r="F4" s="155">
        <v>12</v>
      </c>
      <c r="G4" s="152">
        <f t="shared" si="3"/>
        <v>0</v>
      </c>
      <c r="H4" s="155" t="s">
        <v>133</v>
      </c>
      <c r="I4" s="152">
        <f t="shared" si="4"/>
        <v>112</v>
      </c>
      <c r="J4" s="152">
        <f t="shared" si="5"/>
        <v>189.39999999999998</v>
      </c>
    </row>
    <row r="5" spans="1:10">
      <c r="A5" s="149">
        <v>4</v>
      </c>
      <c r="B5" s="150" t="s">
        <v>131</v>
      </c>
      <c r="C5" s="153">
        <f t="shared" si="0"/>
        <v>700</v>
      </c>
      <c r="D5" s="153">
        <f t="shared" si="1"/>
        <v>15</v>
      </c>
      <c r="E5" s="153">
        <f t="shared" si="2"/>
        <v>21</v>
      </c>
      <c r="F5" s="156">
        <v>20</v>
      </c>
      <c r="G5" s="153">
        <f t="shared" si="3"/>
        <v>0</v>
      </c>
      <c r="H5" s="156" t="s">
        <v>133</v>
      </c>
      <c r="I5" s="153">
        <f t="shared" si="4"/>
        <v>280</v>
      </c>
      <c r="J5" s="153">
        <f t="shared" si="5"/>
        <v>456</v>
      </c>
    </row>
    <row r="6" spans="1:10">
      <c r="A6" s="149">
        <v>5</v>
      </c>
      <c r="B6" s="150" t="s">
        <v>132</v>
      </c>
      <c r="C6" s="151">
        <f t="shared" si="0"/>
        <v>350</v>
      </c>
      <c r="D6" s="152">
        <f t="shared" si="1"/>
        <v>14</v>
      </c>
      <c r="E6" s="152">
        <f t="shared" si="2"/>
        <v>10.5</v>
      </c>
      <c r="F6" s="155">
        <v>10</v>
      </c>
      <c r="G6" s="152">
        <f t="shared" si="3"/>
        <v>0</v>
      </c>
      <c r="H6" s="155" t="s">
        <v>134</v>
      </c>
      <c r="I6" s="152">
        <f t="shared" si="4"/>
        <v>0</v>
      </c>
      <c r="J6" s="152">
        <f t="shared" si="5"/>
        <v>374.5</v>
      </c>
    </row>
    <row r="7" spans="1:10">
      <c r="A7" s="149">
        <v>6</v>
      </c>
      <c r="B7" s="150" t="s">
        <v>131</v>
      </c>
      <c r="C7" s="153">
        <f t="shared" si="0"/>
        <v>700</v>
      </c>
      <c r="D7" s="153">
        <f t="shared" si="1"/>
        <v>15</v>
      </c>
      <c r="E7" s="153">
        <f t="shared" si="2"/>
        <v>21</v>
      </c>
      <c r="F7" s="156">
        <v>34</v>
      </c>
      <c r="G7" s="153">
        <f t="shared" si="3"/>
        <v>56</v>
      </c>
      <c r="H7" s="156" t="s">
        <v>133</v>
      </c>
      <c r="I7" s="153">
        <f t="shared" si="4"/>
        <v>280</v>
      </c>
      <c r="J7" s="153">
        <f t="shared" si="5"/>
        <v>512</v>
      </c>
    </row>
    <row r="8" spans="1:10">
      <c r="A8" s="149">
        <v>7</v>
      </c>
      <c r="B8" s="150" t="s">
        <v>129</v>
      </c>
      <c r="C8" s="151">
        <f t="shared" si="0"/>
        <v>140</v>
      </c>
      <c r="D8" s="152">
        <f t="shared" si="1"/>
        <v>13</v>
      </c>
      <c r="E8" s="152">
        <f t="shared" si="2"/>
        <v>4.2</v>
      </c>
      <c r="F8" s="155">
        <v>9</v>
      </c>
      <c r="G8" s="152">
        <f t="shared" si="3"/>
        <v>0</v>
      </c>
      <c r="H8" s="155" t="s">
        <v>134</v>
      </c>
      <c r="I8" s="152">
        <f t="shared" si="4"/>
        <v>0</v>
      </c>
      <c r="J8" s="152">
        <f t="shared" si="5"/>
        <v>157.19999999999999</v>
      </c>
    </row>
    <row r="9" spans="1:10">
      <c r="A9" s="149">
        <v>8</v>
      </c>
      <c r="B9" s="150" t="s">
        <v>130</v>
      </c>
      <c r="C9" s="153">
        <f t="shared" si="0"/>
        <v>280</v>
      </c>
      <c r="D9" s="153">
        <f t="shared" si="1"/>
        <v>13</v>
      </c>
      <c r="E9" s="153">
        <f t="shared" si="2"/>
        <v>8.4</v>
      </c>
      <c r="F9" s="156">
        <v>67</v>
      </c>
      <c r="G9" s="153">
        <f t="shared" si="3"/>
        <v>188</v>
      </c>
      <c r="H9" s="156" t="s">
        <v>134</v>
      </c>
      <c r="I9" s="153">
        <f t="shared" si="4"/>
        <v>0</v>
      </c>
      <c r="J9" s="153">
        <f t="shared" si="5"/>
        <v>489.4</v>
      </c>
    </row>
    <row r="10" spans="1:10">
      <c r="A10" s="149">
        <v>9</v>
      </c>
      <c r="B10" s="150" t="s">
        <v>132</v>
      </c>
      <c r="C10" s="151">
        <f t="shared" si="0"/>
        <v>350</v>
      </c>
      <c r="D10" s="152">
        <f t="shared" si="1"/>
        <v>14</v>
      </c>
      <c r="E10" s="152">
        <f t="shared" si="2"/>
        <v>10.5</v>
      </c>
      <c r="F10" s="155">
        <v>11</v>
      </c>
      <c r="G10" s="152">
        <f t="shared" si="3"/>
        <v>0</v>
      </c>
      <c r="H10" s="155" t="s">
        <v>134</v>
      </c>
      <c r="I10" s="152">
        <f t="shared" si="4"/>
        <v>0</v>
      </c>
      <c r="J10" s="152">
        <f t="shared" si="5"/>
        <v>374.5</v>
      </c>
    </row>
    <row r="11" spans="1:10">
      <c r="A11" s="149">
        <v>10</v>
      </c>
      <c r="B11" s="150" t="s">
        <v>131</v>
      </c>
      <c r="C11" s="153">
        <f t="shared" si="0"/>
        <v>700</v>
      </c>
      <c r="D11" s="153">
        <f t="shared" si="1"/>
        <v>15</v>
      </c>
      <c r="E11" s="153">
        <f t="shared" si="2"/>
        <v>21</v>
      </c>
      <c r="F11" s="156">
        <v>12</v>
      </c>
      <c r="G11" s="153">
        <f t="shared" si="3"/>
        <v>0</v>
      </c>
      <c r="H11" s="156" t="s">
        <v>134</v>
      </c>
      <c r="I11" s="153">
        <f t="shared" si="4"/>
        <v>0</v>
      </c>
      <c r="J11" s="153">
        <f t="shared" si="5"/>
        <v>736</v>
      </c>
    </row>
    <row r="12" spans="1:10">
      <c r="B12" s="6"/>
      <c r="C12" s="147"/>
      <c r="D12" s="147"/>
      <c r="E12" s="147"/>
      <c r="F12" s="147"/>
      <c r="G12" s="147"/>
      <c r="H12" s="147"/>
      <c r="I12" s="147"/>
      <c r="J12" s="147"/>
    </row>
    <row r="13" spans="1:10" ht="10.5" customHeight="1">
      <c r="B13" s="6"/>
      <c r="C13" s="6"/>
      <c r="D13" s="6"/>
      <c r="E13" s="6"/>
      <c r="F13" s="6"/>
      <c r="G13" s="6"/>
      <c r="H13" s="6"/>
      <c r="I13" s="6"/>
      <c r="J13" s="6"/>
    </row>
    <row r="14" spans="1:10" ht="23.25" customHeight="1">
      <c r="A14" s="232" t="s">
        <v>135</v>
      </c>
      <c r="B14" s="233"/>
      <c r="C14" s="234"/>
      <c r="D14" s="6"/>
      <c r="E14" s="146" t="s">
        <v>138</v>
      </c>
      <c r="F14" s="146"/>
      <c r="G14" s="6"/>
      <c r="H14" s="154" t="s">
        <v>121</v>
      </c>
      <c r="I14" s="154" t="s">
        <v>122</v>
      </c>
      <c r="J14" s="146" t="s">
        <v>123</v>
      </c>
    </row>
    <row r="15" spans="1:10">
      <c r="A15" s="115" t="s">
        <v>136</v>
      </c>
      <c r="B15" s="115"/>
      <c r="C15" s="11">
        <v>0</v>
      </c>
      <c r="E15" s="115" t="s">
        <v>133</v>
      </c>
      <c r="F15" s="8">
        <v>0.4</v>
      </c>
      <c r="H15" s="115" t="s">
        <v>131</v>
      </c>
      <c r="I15" s="12">
        <v>700</v>
      </c>
      <c r="J15" s="12">
        <v>15</v>
      </c>
    </row>
    <row r="16" spans="1:10">
      <c r="A16" s="115" t="s">
        <v>137</v>
      </c>
      <c r="B16" s="115"/>
      <c r="C16" s="11">
        <v>4</v>
      </c>
      <c r="E16" s="115" t="s">
        <v>134</v>
      </c>
      <c r="F16" s="8">
        <v>0</v>
      </c>
      <c r="H16" s="115" t="s">
        <v>130</v>
      </c>
      <c r="I16" s="12">
        <v>280</v>
      </c>
      <c r="J16" s="12">
        <v>13</v>
      </c>
    </row>
    <row r="17" spans="1:10">
      <c r="H17" s="115" t="s">
        <v>129</v>
      </c>
      <c r="I17" s="12">
        <v>140</v>
      </c>
      <c r="J17" s="12">
        <v>13</v>
      </c>
    </row>
    <row r="18" spans="1:10">
      <c r="H18" s="115" t="s">
        <v>132</v>
      </c>
      <c r="I18" s="12">
        <v>350</v>
      </c>
      <c r="J18" s="12">
        <v>14</v>
      </c>
    </row>
    <row r="19" spans="1:10">
      <c r="A19" s="146" t="s">
        <v>139</v>
      </c>
      <c r="H19" s="115" t="s">
        <v>140</v>
      </c>
      <c r="I19" s="12">
        <v>180</v>
      </c>
      <c r="J19" s="12">
        <v>12</v>
      </c>
    </row>
    <row r="20" spans="1:10">
      <c r="A20" s="8">
        <v>0.03</v>
      </c>
      <c r="H20" s="115" t="s">
        <v>141</v>
      </c>
      <c r="I20" s="12">
        <v>460</v>
      </c>
      <c r="J20" s="12">
        <v>15</v>
      </c>
    </row>
    <row r="21" spans="1:10">
      <c r="H21" s="115" t="s">
        <v>142</v>
      </c>
      <c r="I21" s="12">
        <v>680</v>
      </c>
      <c r="J21" s="12">
        <v>17</v>
      </c>
    </row>
    <row r="1000" spans="1:1">
      <c r="A1000" t="s">
        <v>201</v>
      </c>
    </row>
  </sheetData>
  <mergeCells count="1">
    <mergeCell ref="A14:C14"/>
  </mergeCells>
  <phoneticPr fontId="2" type="noConversion"/>
  <dataValidations count="1">
    <dataValidation type="list" errorStyle="warning" allowBlank="1" showInputMessage="1" showErrorMessage="1" errorTitle="ERROR" error="El destino ingresado no corresponde" promptTitle="Indique su destino" prompt="Entre los nombres de la lista" sqref="B2:B11">
      <formula1>"Mardel,Córdoba,Bariloche,Mendoza,Rosario,Tucumán,Usuahia"</formula1>
    </dataValidation>
  </dataValidations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3"/>
  </sheetPr>
  <dimension ref="A1:M77"/>
  <sheetViews>
    <sheetView tabSelected="1" workbookViewId="0">
      <selection activeCell="G39" sqref="G39"/>
    </sheetView>
  </sheetViews>
  <sheetFormatPr baseColWidth="10" defaultRowHeight="12.75"/>
  <cols>
    <col min="1" max="1" width="7.85546875" customWidth="1"/>
    <col min="2" max="2" width="15.28515625" customWidth="1"/>
    <col min="3" max="3" width="19.85546875" customWidth="1"/>
    <col min="4" max="4" width="14.7109375" customWidth="1"/>
    <col min="5" max="5" width="15" customWidth="1"/>
    <col min="6" max="6" width="11.85546875" customWidth="1"/>
    <col min="7" max="7" width="9.7109375" customWidth="1"/>
    <col min="8" max="8" width="15.28515625" customWidth="1"/>
    <col min="10" max="10" width="9.28515625" customWidth="1"/>
    <col min="11" max="11" width="11.85546875" customWidth="1"/>
    <col min="13" max="14" width="11.42578125" customWidth="1"/>
  </cols>
  <sheetData>
    <row r="1" spans="1:12">
      <c r="A1" s="236" t="s">
        <v>143</v>
      </c>
      <c r="B1" s="236"/>
      <c r="C1" s="236"/>
      <c r="D1" s="236"/>
      <c r="E1" s="236"/>
      <c r="F1" s="236"/>
      <c r="G1" s="236"/>
      <c r="H1" s="236"/>
      <c r="I1" s="236"/>
      <c r="J1" s="236"/>
      <c r="K1" s="237"/>
    </row>
    <row r="2" spans="1:12" ht="16.5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7"/>
    </row>
    <row r="3" spans="1:12" ht="24.75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7"/>
    </row>
    <row r="4" spans="1:12" ht="19.5" customHeight="1">
      <c r="A4" s="238" t="s">
        <v>144</v>
      </c>
      <c r="B4" s="238"/>
      <c r="C4" s="238"/>
      <c r="D4" s="238"/>
      <c r="E4" s="238"/>
      <c r="F4" s="238"/>
      <c r="G4" s="238"/>
      <c r="H4" s="238"/>
      <c r="I4" s="238"/>
      <c r="J4" s="238"/>
      <c r="K4" s="239"/>
    </row>
    <row r="5" spans="1:12">
      <c r="A5" s="14"/>
      <c r="B5" s="14"/>
      <c r="C5" s="14"/>
      <c r="D5" s="14"/>
      <c r="E5" s="14"/>
      <c r="F5" s="14"/>
      <c r="G5" s="14"/>
      <c r="H5" s="14"/>
      <c r="I5" s="14"/>
      <c r="J5" s="14"/>
      <c r="K5" s="19"/>
    </row>
    <row r="6" spans="1:12">
      <c r="A6" s="192" t="s">
        <v>145</v>
      </c>
      <c r="B6" s="74">
        <f ca="1">TODAY()</f>
        <v>41581</v>
      </c>
      <c r="C6" s="14"/>
      <c r="D6" s="14"/>
      <c r="E6" s="14"/>
      <c r="F6" s="14"/>
      <c r="G6" s="14"/>
      <c r="H6" s="14"/>
      <c r="I6" s="14"/>
      <c r="J6" s="14"/>
      <c r="K6" s="19"/>
    </row>
    <row r="7" spans="1:12">
      <c r="A7" s="14"/>
      <c r="B7" s="14"/>
      <c r="C7" s="14"/>
      <c r="D7" s="14"/>
      <c r="E7" s="14"/>
      <c r="F7" s="14"/>
      <c r="G7" s="14"/>
      <c r="H7" s="14"/>
      <c r="I7" s="14"/>
      <c r="J7" s="14"/>
      <c r="K7" s="19"/>
    </row>
    <row r="8" spans="1:12" ht="27.75" customHeight="1" thickBot="1">
      <c r="A8" s="193" t="s">
        <v>146</v>
      </c>
      <c r="B8" s="193" t="s">
        <v>147</v>
      </c>
      <c r="C8" s="193" t="s">
        <v>148</v>
      </c>
      <c r="D8" s="193" t="s">
        <v>149</v>
      </c>
      <c r="E8" s="193" t="s">
        <v>199</v>
      </c>
      <c r="F8" s="193" t="s">
        <v>150</v>
      </c>
      <c r="G8" s="193" t="s">
        <v>151</v>
      </c>
      <c r="H8" s="193" t="s">
        <v>152</v>
      </c>
      <c r="I8" s="193" t="s">
        <v>153</v>
      </c>
      <c r="J8" s="193" t="s">
        <v>154</v>
      </c>
      <c r="K8" s="194" t="s">
        <v>155</v>
      </c>
      <c r="L8" s="158"/>
    </row>
    <row r="9" spans="1:12" ht="13.5" thickTop="1">
      <c r="A9" s="195">
        <v>134</v>
      </c>
      <c r="B9" s="29" t="s">
        <v>156</v>
      </c>
      <c r="C9" s="29" t="s">
        <v>157</v>
      </c>
      <c r="D9" s="198">
        <v>34429</v>
      </c>
      <c r="E9" s="29" t="s">
        <v>158</v>
      </c>
      <c r="F9" s="201">
        <f>VLOOKUP(E9,$C$30:$D$37,2,0)</f>
        <v>2100</v>
      </c>
      <c r="G9" s="186">
        <f ca="1">DATEDIF(D9,$B$6,"Y")</f>
        <v>19</v>
      </c>
      <c r="H9" s="36">
        <f ca="1">IF(G9&gt;=30,F9*$K$31,IF(G9&gt;=20,F9*$J$31,IF(G9&gt;=10,F9*$I$31,IF(G9&gt;5,F9*$H$31,0))))</f>
        <v>315</v>
      </c>
      <c r="I9" s="203" t="s">
        <v>133</v>
      </c>
      <c r="J9" s="205">
        <f>IF(I9="S",F9*0.05,0)</f>
        <v>105</v>
      </c>
      <c r="K9" s="187">
        <f ca="1">SUM(F9+H9+J9)</f>
        <v>2520</v>
      </c>
    </row>
    <row r="10" spans="1:12">
      <c r="A10" s="196">
        <v>137</v>
      </c>
      <c r="B10" s="14" t="s">
        <v>159</v>
      </c>
      <c r="C10" s="14" t="s">
        <v>160</v>
      </c>
      <c r="D10" s="199">
        <v>32784</v>
      </c>
      <c r="E10" s="14" t="s">
        <v>158</v>
      </c>
      <c r="F10" s="88">
        <f t="shared" ref="F10:F24" si="0">VLOOKUP(E10,$C$30:$D$37,2,0)</f>
        <v>2100</v>
      </c>
      <c r="G10" s="188">
        <f ca="1">DATEDIF(D10,$B$6,"Y")</f>
        <v>24</v>
      </c>
      <c r="H10" s="40">
        <f t="shared" ref="H10:H25" ca="1" si="1">IF(G10&gt;=30,F10*$K$31,IF(G10&gt;=20,F10*$J$31,IF(G10&gt;=10,F10*$I$31,IF(G10&gt;5,F10*$H$31,0))))</f>
        <v>420</v>
      </c>
      <c r="I10" s="72" t="s">
        <v>133</v>
      </c>
      <c r="J10" s="206">
        <f t="shared" ref="J10:J25" si="2">IF(I10="S",F10*0.05,0)</f>
        <v>105</v>
      </c>
      <c r="K10" s="189">
        <f t="shared" ref="K10:K26" ca="1" si="3">SUM(F10+H10+J10)</f>
        <v>2625</v>
      </c>
    </row>
    <row r="11" spans="1:12">
      <c r="A11" s="196">
        <v>140</v>
      </c>
      <c r="B11" s="14" t="s">
        <v>161</v>
      </c>
      <c r="C11" s="14" t="s">
        <v>162</v>
      </c>
      <c r="D11" s="199">
        <v>31422</v>
      </c>
      <c r="E11" s="14" t="s">
        <v>163</v>
      </c>
      <c r="F11" s="88">
        <f t="shared" si="0"/>
        <v>1100</v>
      </c>
      <c r="G11" s="188">
        <f t="shared" ref="G11:G25" ca="1" si="4">DATEDIF(D11,$B$6,"Y")</f>
        <v>27</v>
      </c>
      <c r="H11" s="40">
        <f t="shared" ca="1" si="1"/>
        <v>220</v>
      </c>
      <c r="I11" s="72" t="s">
        <v>133</v>
      </c>
      <c r="J11" s="206">
        <f t="shared" si="2"/>
        <v>55</v>
      </c>
      <c r="K11" s="189">
        <f t="shared" ca="1" si="3"/>
        <v>1375</v>
      </c>
    </row>
    <row r="12" spans="1:12">
      <c r="A12" s="196">
        <v>143</v>
      </c>
      <c r="B12" s="14" t="s">
        <v>164</v>
      </c>
      <c r="C12" s="14" t="s">
        <v>165</v>
      </c>
      <c r="D12" s="199">
        <v>35079</v>
      </c>
      <c r="E12" s="14" t="s">
        <v>163</v>
      </c>
      <c r="F12" s="88">
        <f t="shared" si="0"/>
        <v>1100</v>
      </c>
      <c r="G12" s="188">
        <f t="shared" ca="1" si="4"/>
        <v>17</v>
      </c>
      <c r="H12" s="40">
        <f t="shared" ca="1" si="1"/>
        <v>165</v>
      </c>
      <c r="I12" s="72" t="s">
        <v>133</v>
      </c>
      <c r="J12" s="206">
        <f t="shared" si="2"/>
        <v>55</v>
      </c>
      <c r="K12" s="189">
        <f t="shared" ca="1" si="3"/>
        <v>1320</v>
      </c>
    </row>
    <row r="13" spans="1:12">
      <c r="A13" s="196">
        <v>145</v>
      </c>
      <c r="B13" s="14" t="s">
        <v>166</v>
      </c>
      <c r="C13" s="14" t="s">
        <v>167</v>
      </c>
      <c r="D13" s="199">
        <v>33098</v>
      </c>
      <c r="E13" s="14" t="s">
        <v>168</v>
      </c>
      <c r="F13" s="88">
        <f t="shared" si="0"/>
        <v>950</v>
      </c>
      <c r="G13" s="188">
        <f t="shared" ca="1" si="4"/>
        <v>23</v>
      </c>
      <c r="H13" s="40">
        <f t="shared" ca="1" si="1"/>
        <v>190</v>
      </c>
      <c r="I13" s="72" t="s">
        <v>134</v>
      </c>
      <c r="J13" s="206">
        <f t="shared" si="2"/>
        <v>0</v>
      </c>
      <c r="K13" s="189">
        <f t="shared" ca="1" si="3"/>
        <v>1140</v>
      </c>
    </row>
    <row r="14" spans="1:12">
      <c r="A14" s="196">
        <v>149</v>
      </c>
      <c r="B14" s="14" t="s">
        <v>169</v>
      </c>
      <c r="C14" s="14" t="s">
        <v>170</v>
      </c>
      <c r="D14" s="199">
        <v>29301</v>
      </c>
      <c r="E14" s="14" t="s">
        <v>168</v>
      </c>
      <c r="F14" s="88">
        <f t="shared" si="0"/>
        <v>950</v>
      </c>
      <c r="G14" s="188">
        <f t="shared" ca="1" si="4"/>
        <v>33</v>
      </c>
      <c r="H14" s="40">
        <f t="shared" ca="1" si="1"/>
        <v>237.5</v>
      </c>
      <c r="I14" s="72" t="s">
        <v>134</v>
      </c>
      <c r="J14" s="206">
        <f t="shared" si="2"/>
        <v>0</v>
      </c>
      <c r="K14" s="189">
        <f t="shared" ca="1" si="3"/>
        <v>1187.5</v>
      </c>
    </row>
    <row r="15" spans="1:12">
      <c r="A15" s="196">
        <v>152</v>
      </c>
      <c r="B15" s="14" t="s">
        <v>171</v>
      </c>
      <c r="C15" s="14" t="s">
        <v>172</v>
      </c>
      <c r="D15" s="199">
        <v>31179</v>
      </c>
      <c r="E15" s="14" t="s">
        <v>173</v>
      </c>
      <c r="F15" s="88">
        <f t="shared" si="0"/>
        <v>1320</v>
      </c>
      <c r="G15" s="188">
        <f t="shared" ca="1" si="4"/>
        <v>28</v>
      </c>
      <c r="H15" s="40">
        <f t="shared" ca="1" si="1"/>
        <v>264</v>
      </c>
      <c r="I15" s="72" t="s">
        <v>133</v>
      </c>
      <c r="J15" s="206">
        <f t="shared" si="2"/>
        <v>66</v>
      </c>
      <c r="K15" s="189">
        <f t="shared" ca="1" si="3"/>
        <v>1650</v>
      </c>
    </row>
    <row r="16" spans="1:12">
      <c r="A16" s="196">
        <v>155</v>
      </c>
      <c r="B16" s="14" t="s">
        <v>174</v>
      </c>
      <c r="C16" s="14" t="s">
        <v>175</v>
      </c>
      <c r="D16" s="199">
        <v>33210</v>
      </c>
      <c r="E16" s="14" t="s">
        <v>163</v>
      </c>
      <c r="F16" s="88">
        <f t="shared" si="0"/>
        <v>1100</v>
      </c>
      <c r="G16" s="188">
        <f t="shared" ca="1" si="4"/>
        <v>22</v>
      </c>
      <c r="H16" s="40">
        <f t="shared" ca="1" si="1"/>
        <v>220</v>
      </c>
      <c r="I16" s="72" t="s">
        <v>134</v>
      </c>
      <c r="J16" s="206">
        <f t="shared" si="2"/>
        <v>0</v>
      </c>
      <c r="K16" s="189">
        <f t="shared" ca="1" si="3"/>
        <v>1320</v>
      </c>
    </row>
    <row r="17" spans="1:11">
      <c r="A17" s="196">
        <v>173</v>
      </c>
      <c r="B17" s="14" t="s">
        <v>176</v>
      </c>
      <c r="C17" s="14" t="s">
        <v>157</v>
      </c>
      <c r="D17" s="199">
        <v>31575</v>
      </c>
      <c r="E17" s="14" t="s">
        <v>177</v>
      </c>
      <c r="F17" s="88">
        <f t="shared" si="0"/>
        <v>850</v>
      </c>
      <c r="G17" s="188">
        <f t="shared" ca="1" si="4"/>
        <v>27</v>
      </c>
      <c r="H17" s="40">
        <f t="shared" ca="1" si="1"/>
        <v>170</v>
      </c>
      <c r="I17" s="72" t="s">
        <v>134</v>
      </c>
      <c r="J17" s="206">
        <f t="shared" si="2"/>
        <v>0</v>
      </c>
      <c r="K17" s="189">
        <f t="shared" ca="1" si="3"/>
        <v>1020</v>
      </c>
    </row>
    <row r="18" spans="1:11">
      <c r="A18" s="196">
        <v>176</v>
      </c>
      <c r="B18" s="14" t="s">
        <v>178</v>
      </c>
      <c r="C18" s="14" t="s">
        <v>179</v>
      </c>
      <c r="D18" s="199">
        <v>33476</v>
      </c>
      <c r="E18" s="14" t="s">
        <v>163</v>
      </c>
      <c r="F18" s="88">
        <f t="shared" si="0"/>
        <v>1100</v>
      </c>
      <c r="G18" s="188">
        <f t="shared" ca="1" si="4"/>
        <v>22</v>
      </c>
      <c r="H18" s="40">
        <f t="shared" ca="1" si="1"/>
        <v>220</v>
      </c>
      <c r="I18" s="72" t="s">
        <v>133</v>
      </c>
      <c r="J18" s="206">
        <f t="shared" si="2"/>
        <v>55</v>
      </c>
      <c r="K18" s="189">
        <f t="shared" ca="1" si="3"/>
        <v>1375</v>
      </c>
    </row>
    <row r="19" spans="1:11">
      <c r="A19" s="196">
        <v>179</v>
      </c>
      <c r="B19" s="14" t="s">
        <v>180</v>
      </c>
      <c r="C19" s="14" t="s">
        <v>181</v>
      </c>
      <c r="D19" s="199">
        <v>33490</v>
      </c>
      <c r="E19" s="14" t="s">
        <v>168</v>
      </c>
      <c r="F19" s="88">
        <f t="shared" si="0"/>
        <v>950</v>
      </c>
      <c r="G19" s="188">
        <f t="shared" ca="1" si="4"/>
        <v>22</v>
      </c>
      <c r="H19" s="40">
        <f t="shared" ca="1" si="1"/>
        <v>190</v>
      </c>
      <c r="I19" s="72" t="s">
        <v>133</v>
      </c>
      <c r="J19" s="206">
        <f t="shared" si="2"/>
        <v>47.5</v>
      </c>
      <c r="K19" s="189">
        <f t="shared" ca="1" si="3"/>
        <v>1187.5</v>
      </c>
    </row>
    <row r="20" spans="1:11">
      <c r="A20" s="196">
        <v>182</v>
      </c>
      <c r="B20" s="14" t="s">
        <v>182</v>
      </c>
      <c r="C20" s="14" t="s">
        <v>183</v>
      </c>
      <c r="D20" s="199">
        <v>33553</v>
      </c>
      <c r="E20" s="14" t="s">
        <v>184</v>
      </c>
      <c r="F20" s="88">
        <f t="shared" si="0"/>
        <v>780</v>
      </c>
      <c r="G20" s="188">
        <f t="shared" ca="1" si="4"/>
        <v>21</v>
      </c>
      <c r="H20" s="40">
        <f t="shared" ca="1" si="1"/>
        <v>156</v>
      </c>
      <c r="I20" s="72" t="s">
        <v>134</v>
      </c>
      <c r="J20" s="206">
        <f t="shared" si="2"/>
        <v>0</v>
      </c>
      <c r="K20" s="189">
        <f t="shared" ca="1" si="3"/>
        <v>936</v>
      </c>
    </row>
    <row r="21" spans="1:11">
      <c r="A21" s="196">
        <v>185</v>
      </c>
      <c r="B21" s="14" t="s">
        <v>185</v>
      </c>
      <c r="C21" s="14" t="s">
        <v>186</v>
      </c>
      <c r="D21" s="199">
        <v>28926</v>
      </c>
      <c r="E21" s="14" t="s">
        <v>168</v>
      </c>
      <c r="F21" s="88">
        <f t="shared" si="0"/>
        <v>950</v>
      </c>
      <c r="G21" s="188">
        <f t="shared" ca="1" si="4"/>
        <v>34</v>
      </c>
      <c r="H21" s="40">
        <f t="shared" ca="1" si="1"/>
        <v>237.5</v>
      </c>
      <c r="I21" s="72" t="s">
        <v>133</v>
      </c>
      <c r="J21" s="206">
        <f t="shared" si="2"/>
        <v>47.5</v>
      </c>
      <c r="K21" s="189">
        <f t="shared" ca="1" si="3"/>
        <v>1235</v>
      </c>
    </row>
    <row r="22" spans="1:11">
      <c r="A22" s="196">
        <v>188</v>
      </c>
      <c r="B22" s="14" t="s">
        <v>187</v>
      </c>
      <c r="C22" s="14" t="s">
        <v>188</v>
      </c>
      <c r="D22" s="199">
        <v>33567</v>
      </c>
      <c r="E22" s="14" t="s">
        <v>184</v>
      </c>
      <c r="F22" s="88">
        <f t="shared" si="0"/>
        <v>780</v>
      </c>
      <c r="G22" s="188">
        <f t="shared" ca="1" si="4"/>
        <v>21</v>
      </c>
      <c r="H22" s="40">
        <f t="shared" ca="1" si="1"/>
        <v>156</v>
      </c>
      <c r="I22" s="72" t="s">
        <v>134</v>
      </c>
      <c r="J22" s="206">
        <f t="shared" si="2"/>
        <v>0</v>
      </c>
      <c r="K22" s="189">
        <f t="shared" ca="1" si="3"/>
        <v>936</v>
      </c>
    </row>
    <row r="23" spans="1:11">
      <c r="A23" s="196">
        <v>200</v>
      </c>
      <c r="B23" s="14" t="s">
        <v>189</v>
      </c>
      <c r="C23" s="14" t="s">
        <v>190</v>
      </c>
      <c r="D23" s="199">
        <v>33700</v>
      </c>
      <c r="E23" s="14" t="s">
        <v>191</v>
      </c>
      <c r="F23" s="88">
        <f t="shared" si="0"/>
        <v>1500</v>
      </c>
      <c r="G23" s="188">
        <f t="shared" ca="1" si="4"/>
        <v>21</v>
      </c>
      <c r="H23" s="40">
        <f t="shared" ca="1" si="1"/>
        <v>300</v>
      </c>
      <c r="I23" s="72" t="s">
        <v>133</v>
      </c>
      <c r="J23" s="206">
        <f t="shared" si="2"/>
        <v>75</v>
      </c>
      <c r="K23" s="189">
        <f t="shared" ca="1" si="3"/>
        <v>1875</v>
      </c>
    </row>
    <row r="24" spans="1:11">
      <c r="A24" s="196">
        <v>203</v>
      </c>
      <c r="B24" s="14" t="s">
        <v>192</v>
      </c>
      <c r="C24" s="14" t="s">
        <v>193</v>
      </c>
      <c r="D24" s="199">
        <v>33770</v>
      </c>
      <c r="E24" s="14" t="s">
        <v>184</v>
      </c>
      <c r="F24" s="88">
        <f t="shared" si="0"/>
        <v>780</v>
      </c>
      <c r="G24" s="188">
        <f t="shared" ca="1" si="4"/>
        <v>21</v>
      </c>
      <c r="H24" s="40">
        <f t="shared" ca="1" si="1"/>
        <v>156</v>
      </c>
      <c r="I24" s="72" t="s">
        <v>134</v>
      </c>
      <c r="J24" s="206">
        <f t="shared" si="2"/>
        <v>0</v>
      </c>
      <c r="K24" s="189">
        <f t="shared" ca="1" si="3"/>
        <v>936</v>
      </c>
    </row>
    <row r="25" spans="1:11" ht="13.5" thickBot="1">
      <c r="A25" s="197">
        <v>215</v>
      </c>
      <c r="B25" s="22" t="s">
        <v>194</v>
      </c>
      <c r="C25" s="22" t="s">
        <v>195</v>
      </c>
      <c r="D25" s="200">
        <v>33106</v>
      </c>
      <c r="E25" s="22" t="s">
        <v>191</v>
      </c>
      <c r="F25" s="202">
        <f>VLOOKUP(E25,$C$30:$D$37,2,0)</f>
        <v>1500</v>
      </c>
      <c r="G25" s="190">
        <f t="shared" ca="1" si="4"/>
        <v>23</v>
      </c>
      <c r="H25" s="45">
        <f t="shared" ca="1" si="1"/>
        <v>300</v>
      </c>
      <c r="I25" s="204" t="s">
        <v>133</v>
      </c>
      <c r="J25" s="207">
        <f t="shared" si="2"/>
        <v>75</v>
      </c>
      <c r="K25" s="191">
        <f t="shared" ca="1" si="3"/>
        <v>1875</v>
      </c>
    </row>
    <row r="26" spans="1:11" ht="16.5" customHeight="1" thickTop="1">
      <c r="E26" s="208" t="s">
        <v>196</v>
      </c>
      <c r="F26" s="165">
        <f>SUM(F9:F25)</f>
        <v>19910</v>
      </c>
      <c r="G26" s="1"/>
      <c r="H26" s="184">
        <f ca="1">SUM(H9:H25)</f>
        <v>3917</v>
      </c>
      <c r="I26" s="1"/>
      <c r="J26" s="184">
        <f>SUM(J9:J25)</f>
        <v>686</v>
      </c>
      <c r="K26" s="184">
        <f t="shared" ca="1" si="3"/>
        <v>24513</v>
      </c>
    </row>
    <row r="27" spans="1:11">
      <c r="A27" s="185" t="s">
        <v>197</v>
      </c>
      <c r="B27" s="185"/>
      <c r="C27" s="1">
        <f>COUNTA(C9:C25)</f>
        <v>17</v>
      </c>
    </row>
    <row r="28" spans="1:11">
      <c r="A28" s="185" t="s">
        <v>198</v>
      </c>
      <c r="B28" s="185"/>
      <c r="C28" s="1">
        <f>COUNTIF(E9:E25,"EJECUTIVO")</f>
        <v>2</v>
      </c>
    </row>
    <row r="29" spans="1:11" ht="13.5" thickBot="1"/>
    <row r="30" spans="1:11" ht="16.5" customHeight="1" thickTop="1">
      <c r="C30" s="166" t="s">
        <v>199</v>
      </c>
      <c r="D30" s="167" t="s">
        <v>150</v>
      </c>
      <c r="F30" s="163" t="s">
        <v>151</v>
      </c>
      <c r="G30" s="159">
        <v>1</v>
      </c>
      <c r="H30" s="159">
        <v>5</v>
      </c>
      <c r="I30" s="159">
        <v>10</v>
      </c>
      <c r="J30" s="159">
        <v>20</v>
      </c>
      <c r="K30" s="160">
        <v>30</v>
      </c>
    </row>
    <row r="31" spans="1:11" ht="14.25" customHeight="1" thickBot="1">
      <c r="C31" s="168" t="s">
        <v>177</v>
      </c>
      <c r="D31" s="169">
        <v>850</v>
      </c>
      <c r="F31" s="164" t="s">
        <v>213</v>
      </c>
      <c r="G31" s="161">
        <v>0</v>
      </c>
      <c r="H31" s="161">
        <v>0.1</v>
      </c>
      <c r="I31" s="161">
        <v>0.15</v>
      </c>
      <c r="J31" s="161">
        <v>0.2</v>
      </c>
      <c r="K31" s="162">
        <v>0.25</v>
      </c>
    </row>
    <row r="32" spans="1:11" ht="13.5" thickTop="1">
      <c r="C32" s="168" t="s">
        <v>158</v>
      </c>
      <c r="D32" s="169">
        <v>2100</v>
      </c>
    </row>
    <row r="33" spans="1:13">
      <c r="C33" s="168" t="s">
        <v>163</v>
      </c>
      <c r="D33" s="169">
        <v>1100</v>
      </c>
    </row>
    <row r="34" spans="1:13">
      <c r="C34" s="168" t="s">
        <v>191</v>
      </c>
      <c r="D34" s="169">
        <v>1500</v>
      </c>
    </row>
    <row r="35" spans="1:13">
      <c r="C35" s="168" t="s">
        <v>173</v>
      </c>
      <c r="D35" s="169">
        <v>1320</v>
      </c>
    </row>
    <row r="36" spans="1:13">
      <c r="C36" s="168" t="s">
        <v>184</v>
      </c>
      <c r="D36" s="169">
        <v>780</v>
      </c>
    </row>
    <row r="37" spans="1:13" ht="13.5" thickBot="1">
      <c r="C37" s="170" t="s">
        <v>168</v>
      </c>
      <c r="D37" s="171">
        <v>950</v>
      </c>
    </row>
    <row r="38" spans="1:13" ht="13.5" thickTop="1"/>
    <row r="43" spans="1:13">
      <c r="A43" s="172"/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3"/>
      <c r="M43" s="173"/>
    </row>
    <row r="44" spans="1:13">
      <c r="A44" s="174"/>
      <c r="B44" s="174"/>
      <c r="C44" s="174"/>
      <c r="D44" s="175"/>
      <c r="E44" s="174"/>
      <c r="F44" s="176"/>
      <c r="G44" s="177"/>
      <c r="H44" s="176"/>
      <c r="I44" s="174"/>
      <c r="J44" s="176"/>
      <c r="K44" s="176"/>
      <c r="L44" s="173"/>
      <c r="M44" s="173"/>
    </row>
    <row r="45" spans="1:13">
      <c r="A45" s="174"/>
      <c r="B45" s="174"/>
      <c r="C45" s="174"/>
      <c r="D45" s="175"/>
      <c r="E45" s="174"/>
      <c r="F45" s="176"/>
      <c r="G45" s="177"/>
      <c r="H45" s="176"/>
      <c r="I45" s="174"/>
      <c r="J45" s="176"/>
      <c r="K45" s="176"/>
      <c r="L45" s="173"/>
      <c r="M45" s="173"/>
    </row>
    <row r="46" spans="1:13">
      <c r="A46" s="174"/>
      <c r="B46" s="174"/>
      <c r="C46" s="174"/>
      <c r="D46" s="175"/>
      <c r="E46" s="174"/>
      <c r="F46" s="176"/>
      <c r="G46" s="177"/>
      <c r="H46" s="176"/>
      <c r="I46" s="174"/>
      <c r="J46" s="176"/>
      <c r="K46" s="176"/>
      <c r="L46" s="173"/>
      <c r="M46" s="173"/>
    </row>
    <row r="47" spans="1:13">
      <c r="A47" s="174"/>
      <c r="B47" s="174"/>
      <c r="C47" s="174"/>
      <c r="D47" s="175"/>
      <c r="E47" s="174"/>
      <c r="F47" s="176"/>
      <c r="G47" s="177"/>
      <c r="H47" s="176"/>
      <c r="I47" s="174"/>
      <c r="J47" s="176"/>
      <c r="K47" s="176"/>
      <c r="L47" s="173"/>
      <c r="M47" s="173"/>
    </row>
    <row r="48" spans="1:13">
      <c r="A48" s="174"/>
      <c r="B48" s="174"/>
      <c r="C48" s="174"/>
      <c r="D48" s="175"/>
      <c r="E48" s="174"/>
      <c r="F48" s="176"/>
      <c r="G48" s="177"/>
      <c r="H48" s="176"/>
      <c r="I48" s="174"/>
      <c r="J48" s="176"/>
      <c r="K48" s="176"/>
      <c r="L48" s="173"/>
      <c r="M48" s="173"/>
    </row>
    <row r="49" spans="1:13">
      <c r="A49" s="174"/>
      <c r="B49" s="174"/>
      <c r="C49" s="174"/>
      <c r="D49" s="175"/>
      <c r="E49" s="174"/>
      <c r="F49" s="176"/>
      <c r="G49" s="177"/>
      <c r="H49" s="176"/>
      <c r="I49" s="174"/>
      <c r="J49" s="176"/>
      <c r="K49" s="176"/>
      <c r="L49" s="173"/>
      <c r="M49" s="173"/>
    </row>
    <row r="50" spans="1:13">
      <c r="A50" s="174"/>
      <c r="B50" s="174"/>
      <c r="C50" s="174"/>
      <c r="D50" s="175"/>
      <c r="E50" s="174"/>
      <c r="F50" s="176"/>
      <c r="G50" s="177"/>
      <c r="H50" s="176"/>
      <c r="I50" s="174"/>
      <c r="J50" s="176"/>
      <c r="K50" s="176"/>
      <c r="L50" s="173"/>
      <c r="M50" s="173"/>
    </row>
    <row r="51" spans="1:13">
      <c r="A51" s="174"/>
      <c r="B51" s="174"/>
      <c r="C51" s="174"/>
      <c r="D51" s="175"/>
      <c r="E51" s="174"/>
      <c r="F51" s="176"/>
      <c r="G51" s="177"/>
      <c r="H51" s="176"/>
      <c r="I51" s="174"/>
      <c r="J51" s="176"/>
      <c r="K51" s="176"/>
      <c r="L51" s="173"/>
      <c r="M51" s="173"/>
    </row>
    <row r="52" spans="1:13">
      <c r="A52" s="174"/>
      <c r="B52" s="174"/>
      <c r="C52" s="174"/>
      <c r="D52" s="175"/>
      <c r="E52" s="174"/>
      <c r="F52" s="176"/>
      <c r="G52" s="177"/>
      <c r="H52" s="176"/>
      <c r="I52" s="174"/>
      <c r="J52" s="176"/>
      <c r="K52" s="176"/>
      <c r="L52" s="173"/>
      <c r="M52" s="173"/>
    </row>
    <row r="53" spans="1:13">
      <c r="A53" s="174"/>
      <c r="B53" s="174"/>
      <c r="C53" s="174"/>
      <c r="D53" s="175"/>
      <c r="E53" s="174"/>
      <c r="F53" s="176"/>
      <c r="G53" s="177"/>
      <c r="H53" s="176"/>
      <c r="I53" s="174"/>
      <c r="J53" s="176"/>
      <c r="K53" s="176"/>
      <c r="L53" s="173"/>
      <c r="M53" s="173"/>
    </row>
    <row r="54" spans="1:13">
      <c r="A54" s="174"/>
      <c r="B54" s="174"/>
      <c r="C54" s="174"/>
      <c r="D54" s="175"/>
      <c r="E54" s="174"/>
      <c r="F54" s="176"/>
      <c r="G54" s="177"/>
      <c r="H54" s="176"/>
      <c r="I54" s="174"/>
      <c r="J54" s="176"/>
      <c r="K54" s="176"/>
      <c r="L54" s="173"/>
      <c r="M54" s="173"/>
    </row>
    <row r="55" spans="1:13">
      <c r="A55" s="174"/>
      <c r="B55" s="174"/>
      <c r="C55" s="174"/>
      <c r="D55" s="175"/>
      <c r="E55" s="174"/>
      <c r="F55" s="176"/>
      <c r="G55" s="177"/>
      <c r="H55" s="176"/>
      <c r="I55" s="174"/>
      <c r="J55" s="176"/>
      <c r="K55" s="176"/>
      <c r="L55" s="173"/>
      <c r="M55" s="173"/>
    </row>
    <row r="56" spans="1:13">
      <c r="A56" s="174"/>
      <c r="B56" s="174"/>
      <c r="C56" s="174"/>
      <c r="D56" s="175"/>
      <c r="E56" s="174"/>
      <c r="F56" s="176"/>
      <c r="G56" s="177"/>
      <c r="H56" s="176"/>
      <c r="I56" s="174"/>
      <c r="J56" s="176"/>
      <c r="K56" s="176"/>
      <c r="L56" s="173"/>
      <c r="M56" s="173"/>
    </row>
    <row r="57" spans="1:13">
      <c r="A57" s="174"/>
      <c r="B57" s="174"/>
      <c r="C57" s="174"/>
      <c r="D57" s="175"/>
      <c r="E57" s="174"/>
      <c r="F57" s="176"/>
      <c r="G57" s="177"/>
      <c r="H57" s="176"/>
      <c r="I57" s="174"/>
      <c r="J57" s="176"/>
      <c r="K57" s="176"/>
      <c r="L57" s="173"/>
      <c r="M57" s="173"/>
    </row>
    <row r="58" spans="1:13">
      <c r="A58" s="174"/>
      <c r="B58" s="174"/>
      <c r="C58" s="174"/>
      <c r="D58" s="175"/>
      <c r="E58" s="174"/>
      <c r="F58" s="176"/>
      <c r="G58" s="177"/>
      <c r="H58" s="176"/>
      <c r="I58" s="174"/>
      <c r="J58" s="176"/>
      <c r="K58" s="176"/>
      <c r="L58" s="173"/>
      <c r="M58" s="173"/>
    </row>
    <row r="59" spans="1:13">
      <c r="A59" s="174"/>
      <c r="B59" s="174"/>
      <c r="C59" s="174"/>
      <c r="D59" s="175"/>
      <c r="E59" s="174"/>
      <c r="F59" s="176"/>
      <c r="G59" s="177"/>
      <c r="H59" s="176"/>
      <c r="I59" s="174"/>
      <c r="J59" s="176"/>
      <c r="K59" s="176"/>
      <c r="L59" s="173"/>
      <c r="M59" s="173"/>
    </row>
    <row r="60" spans="1:13">
      <c r="A60" s="174"/>
      <c r="B60" s="174"/>
      <c r="C60" s="174"/>
      <c r="D60" s="175"/>
      <c r="E60" s="174"/>
      <c r="F60" s="176"/>
      <c r="G60" s="177"/>
      <c r="H60" s="176"/>
      <c r="I60" s="174"/>
      <c r="J60" s="176"/>
      <c r="K60" s="176"/>
      <c r="L60" s="173"/>
      <c r="M60" s="173"/>
    </row>
    <row r="61" spans="1:13">
      <c r="A61" s="174"/>
      <c r="B61" s="174"/>
      <c r="C61" s="174"/>
      <c r="D61" s="174"/>
      <c r="E61" s="178"/>
      <c r="F61" s="176"/>
      <c r="G61" s="176"/>
      <c r="H61" s="176"/>
      <c r="I61" s="176"/>
      <c r="J61" s="176"/>
      <c r="K61" s="176"/>
      <c r="L61" s="173"/>
      <c r="M61" s="173"/>
    </row>
    <row r="62" spans="1:13">
      <c r="A62" s="235"/>
      <c r="B62" s="235"/>
      <c r="C62" s="179"/>
      <c r="D62" s="174"/>
      <c r="E62" s="174"/>
      <c r="F62" s="174"/>
      <c r="G62" s="174"/>
      <c r="H62" s="174"/>
      <c r="I62" s="174"/>
      <c r="J62" s="174"/>
      <c r="K62" s="174"/>
      <c r="L62" s="173"/>
      <c r="M62" s="173"/>
    </row>
    <row r="63" spans="1:13">
      <c r="A63" s="235"/>
      <c r="B63" s="235"/>
      <c r="C63" s="179"/>
      <c r="D63" s="174"/>
      <c r="E63" s="174"/>
      <c r="F63" s="174"/>
      <c r="G63" s="174"/>
      <c r="H63" s="174"/>
      <c r="I63" s="174"/>
      <c r="J63" s="174"/>
      <c r="K63" s="174"/>
      <c r="L63" s="173"/>
      <c r="M63" s="173"/>
    </row>
    <row r="64" spans="1:13">
      <c r="A64" s="174"/>
      <c r="B64" s="174"/>
      <c r="C64" s="174"/>
      <c r="D64" s="174"/>
      <c r="E64" s="174"/>
      <c r="F64" s="174"/>
      <c r="G64" s="174"/>
      <c r="H64" s="174"/>
      <c r="I64" s="174"/>
      <c r="J64" s="174"/>
      <c r="K64" s="174"/>
      <c r="L64" s="173"/>
      <c r="M64" s="173"/>
    </row>
    <row r="65" spans="1:13" ht="15">
      <c r="A65" s="174"/>
      <c r="B65" s="174"/>
      <c r="C65" s="180"/>
      <c r="D65" s="181"/>
      <c r="E65" s="174"/>
      <c r="F65" s="174"/>
      <c r="G65" s="174"/>
      <c r="H65" s="174"/>
      <c r="I65" s="174"/>
      <c r="J65" s="174"/>
      <c r="K65" s="174"/>
      <c r="L65" s="173"/>
      <c r="M65" s="173"/>
    </row>
    <row r="66" spans="1:13">
      <c r="A66" s="174"/>
      <c r="B66" s="175"/>
      <c r="C66" s="174"/>
      <c r="D66" s="182"/>
      <c r="E66" s="174"/>
      <c r="F66" s="174"/>
      <c r="G66" s="183"/>
      <c r="H66" s="183"/>
      <c r="I66" s="183"/>
      <c r="J66" s="183"/>
      <c r="K66" s="183"/>
      <c r="L66" s="173"/>
      <c r="M66" s="173"/>
    </row>
    <row r="67" spans="1:13">
      <c r="A67" s="174"/>
      <c r="B67" s="174"/>
      <c r="C67" s="174"/>
      <c r="D67" s="182"/>
      <c r="E67" s="174"/>
      <c r="F67" s="174"/>
      <c r="G67" s="174"/>
      <c r="H67" s="174"/>
      <c r="I67" s="174"/>
      <c r="J67" s="174"/>
      <c r="K67" s="174"/>
      <c r="L67" s="173"/>
      <c r="M67" s="173"/>
    </row>
    <row r="68" spans="1:13">
      <c r="A68" s="173"/>
      <c r="B68" s="175"/>
      <c r="C68" s="174"/>
      <c r="D68" s="182"/>
      <c r="E68" s="173"/>
      <c r="F68" s="173"/>
      <c r="G68" s="173"/>
      <c r="H68" s="173"/>
      <c r="I68" s="173"/>
      <c r="J68" s="173"/>
      <c r="K68" s="173"/>
      <c r="L68" s="173"/>
      <c r="M68" s="173"/>
    </row>
    <row r="69" spans="1:13">
      <c r="A69" s="173"/>
      <c r="B69" s="174"/>
      <c r="C69" s="174"/>
      <c r="D69" s="182"/>
      <c r="E69" s="173"/>
      <c r="F69" s="173"/>
      <c r="G69" s="173"/>
      <c r="H69" s="173"/>
      <c r="I69" s="173"/>
      <c r="J69" s="173"/>
      <c r="K69" s="173"/>
      <c r="L69" s="173"/>
      <c r="M69" s="173"/>
    </row>
    <row r="70" spans="1:13">
      <c r="A70" s="173"/>
      <c r="B70" s="174"/>
      <c r="C70" s="174"/>
      <c r="D70" s="182"/>
      <c r="E70" s="173"/>
      <c r="F70" s="173"/>
      <c r="G70" s="173"/>
      <c r="H70" s="173"/>
      <c r="I70" s="173"/>
      <c r="J70" s="173"/>
      <c r="K70" s="173"/>
      <c r="L70" s="173"/>
      <c r="M70" s="173"/>
    </row>
    <row r="71" spans="1:13">
      <c r="A71" s="173"/>
      <c r="B71" s="174"/>
      <c r="C71" s="174"/>
      <c r="D71" s="182"/>
      <c r="E71" s="173"/>
      <c r="F71" s="173"/>
      <c r="G71" s="173"/>
      <c r="H71" s="173"/>
      <c r="I71" s="173"/>
      <c r="J71" s="173"/>
      <c r="K71" s="173"/>
      <c r="L71" s="173"/>
      <c r="M71" s="173"/>
    </row>
    <row r="72" spans="1:13">
      <c r="A72" s="173"/>
      <c r="B72" s="174"/>
      <c r="C72" s="174"/>
      <c r="D72" s="182"/>
      <c r="E72" s="173"/>
      <c r="F72" s="173"/>
      <c r="G72" s="173"/>
      <c r="H72" s="173"/>
      <c r="I72" s="173"/>
      <c r="J72" s="173"/>
      <c r="K72" s="173"/>
      <c r="L72" s="173"/>
      <c r="M72" s="173"/>
    </row>
    <row r="73" spans="1:13">
      <c r="A73" s="173"/>
      <c r="B73" s="173"/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</row>
    <row r="74" spans="1:13">
      <c r="A74" s="173"/>
      <c r="B74" s="173"/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</row>
    <row r="75" spans="1:13">
      <c r="A75" s="173"/>
      <c r="B75" s="173"/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</row>
    <row r="76" spans="1:13">
      <c r="A76" s="173"/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3"/>
      <c r="M76" s="173"/>
    </row>
    <row r="77" spans="1:13">
      <c r="A77" s="173"/>
      <c r="B77" s="173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173"/>
    </row>
  </sheetData>
  <mergeCells count="4">
    <mergeCell ref="A62:B62"/>
    <mergeCell ref="A63:B63"/>
    <mergeCell ref="A1:K3"/>
    <mergeCell ref="A4:K4"/>
  </mergeCells>
  <phoneticPr fontId="2" type="noConversion"/>
  <dataValidations count="1">
    <dataValidation type="date" errorStyle="information" allowBlank="1" showInputMessage="1" showErrorMessage="1" errorTitle="Dato Incorrecto" error="Inténtelo nuevamente colocando una fecha entre 1/1/1975 y la fecha actual." promptTitle="Fecha de ingreso" prompt="Indique fecha de ingreso de empleado" sqref="D9:D25">
      <formula1>27395</formula1>
      <formula2>41578</formula2>
    </dataValidation>
  </dataValidations>
  <pageMargins left="0.75" right="0.75" top="1" bottom="1" header="0" footer="0"/>
  <pageSetup paperSize="9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Ejercicio 1</vt:lpstr>
      <vt:lpstr>Ejercicio 2</vt:lpstr>
      <vt:lpstr>Ejercicio 3</vt:lpstr>
      <vt:lpstr>Ejercicio 4</vt:lpstr>
      <vt:lpstr>Ejercicio 5</vt:lpstr>
      <vt:lpstr>Ejercicio 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Agus</cp:lastModifiedBy>
  <cp:lastPrinted>2005-02-11T20:38:37Z</cp:lastPrinted>
  <dcterms:created xsi:type="dcterms:W3CDTF">1996-11-27T10:00:04Z</dcterms:created>
  <dcterms:modified xsi:type="dcterms:W3CDTF">2013-11-03T14:45:01Z</dcterms:modified>
</cp:coreProperties>
</file>