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9420" windowHeight="4380" tabRatio="702"/>
  </bookViews>
  <sheets>
    <sheet name="Ejercicio 1" sheetId="2" r:id="rId1"/>
    <sheet name="Ejercicio 2" sheetId="4" r:id="rId2"/>
    <sheet name="Ejercicio 3" sheetId="5" r:id="rId3"/>
    <sheet name="Ejercicio 4" sheetId="7" r:id="rId4"/>
    <sheet name="Ejercicio 5" sheetId="10" r:id="rId5"/>
    <sheet name="Ejercicio 6" sheetId="12" r:id="rId6"/>
  </sheets>
  <definedNames>
    <definedName name="aranceles">#REF!</definedName>
    <definedName name="inscripciones">#REF!</definedName>
    <definedName name="IVA">#REF!</definedName>
    <definedName name="materias">#REF!</definedName>
    <definedName name="Productos">#REF!</definedName>
  </definedNames>
  <calcPr calcId="145621"/>
</workbook>
</file>

<file path=xl/calcChain.xml><?xml version="1.0" encoding="utf-8"?>
<calcChain xmlns="http://schemas.openxmlformats.org/spreadsheetml/2006/main">
  <c r="C26" i="5" l="1"/>
  <c r="B21" i="7" l="1"/>
  <c r="B22" i="7"/>
  <c r="B23" i="7"/>
  <c r="B20" i="7"/>
  <c r="D26" i="5"/>
  <c r="D25" i="5"/>
  <c r="C29" i="12"/>
  <c r="C28" i="12"/>
  <c r="C27" i="12"/>
  <c r="B6" i="12"/>
  <c r="G25" i="12" s="1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9" i="12"/>
  <c r="G4" i="10"/>
  <c r="G5" i="10"/>
  <c r="G6" i="10"/>
  <c r="G7" i="10"/>
  <c r="G8" i="10"/>
  <c r="G9" i="10"/>
  <c r="G10" i="10"/>
  <c r="G11" i="10"/>
  <c r="G12" i="10"/>
  <c r="G3" i="10"/>
  <c r="E4" i="10"/>
  <c r="E6" i="10"/>
  <c r="E8" i="10"/>
  <c r="E10" i="10"/>
  <c r="D4" i="10"/>
  <c r="D5" i="10"/>
  <c r="D6" i="10"/>
  <c r="D7" i="10"/>
  <c r="D8" i="10"/>
  <c r="D9" i="10"/>
  <c r="D10" i="10"/>
  <c r="D11" i="10"/>
  <c r="D12" i="10"/>
  <c r="D3" i="10"/>
  <c r="C4" i="10"/>
  <c r="I4" i="10" s="1"/>
  <c r="C5" i="10"/>
  <c r="E5" i="10" s="1"/>
  <c r="C6" i="10"/>
  <c r="I6" i="10" s="1"/>
  <c r="C7" i="10"/>
  <c r="E7" i="10" s="1"/>
  <c r="C8" i="10"/>
  <c r="I8" i="10" s="1"/>
  <c r="C9" i="10"/>
  <c r="E9" i="10" s="1"/>
  <c r="C10" i="10"/>
  <c r="I10" i="10" s="1"/>
  <c r="C11" i="10"/>
  <c r="E11" i="10" s="1"/>
  <c r="C12" i="10"/>
  <c r="I12" i="10" s="1"/>
  <c r="C3" i="10"/>
  <c r="I3" i="10" s="1"/>
  <c r="J10" i="10" l="1"/>
  <c r="J8" i="10"/>
  <c r="J6" i="10"/>
  <c r="J4" i="10"/>
  <c r="J3" i="10"/>
  <c r="J9" i="10"/>
  <c r="J5" i="10"/>
  <c r="E3" i="10"/>
  <c r="I11" i="10"/>
  <c r="J11" i="10" s="1"/>
  <c r="I9" i="10"/>
  <c r="I7" i="10"/>
  <c r="J7" i="10" s="1"/>
  <c r="I5" i="10"/>
  <c r="H25" i="12"/>
  <c r="J25" i="12"/>
  <c r="G9" i="12"/>
  <c r="H9" i="12" s="1"/>
  <c r="G10" i="12"/>
  <c r="H10" i="12" s="1"/>
  <c r="G15" i="12"/>
  <c r="H15" i="12" s="1"/>
  <c r="G20" i="12"/>
  <c r="H20" i="12" s="1"/>
  <c r="G11" i="12"/>
  <c r="H11" i="12" s="1"/>
  <c r="G16" i="12"/>
  <c r="H16" i="12" s="1"/>
  <c r="G22" i="12"/>
  <c r="H22" i="12" s="1"/>
  <c r="G12" i="12"/>
  <c r="H12" i="12" s="1"/>
  <c r="G18" i="12"/>
  <c r="H18" i="12" s="1"/>
  <c r="G23" i="12"/>
  <c r="H23" i="12" s="1"/>
  <c r="G14" i="12"/>
  <c r="H14" i="12" s="1"/>
  <c r="G19" i="12"/>
  <c r="H19" i="12" s="1"/>
  <c r="G24" i="12"/>
  <c r="H24" i="12" s="1"/>
  <c r="G13" i="12"/>
  <c r="H13" i="12" s="1"/>
  <c r="G17" i="12"/>
  <c r="H17" i="12" s="1"/>
  <c r="G21" i="12"/>
  <c r="H21" i="12" s="1"/>
  <c r="E12" i="10"/>
  <c r="J12" i="10" s="1"/>
  <c r="B16" i="7"/>
  <c r="D8" i="7"/>
  <c r="E8" i="7" s="1"/>
  <c r="D9" i="7"/>
  <c r="E9" i="7" s="1"/>
  <c r="D10" i="7"/>
  <c r="E10" i="7" s="1"/>
  <c r="D11" i="7"/>
  <c r="E11" i="7" s="1"/>
  <c r="D12" i="7"/>
  <c r="E12" i="7" s="1"/>
  <c r="D13" i="7"/>
  <c r="E13" i="7" s="1"/>
  <c r="D14" i="7"/>
  <c r="E14" i="7" s="1"/>
  <c r="D15" i="7"/>
  <c r="E15" i="7" s="1"/>
  <c r="D16" i="7"/>
  <c r="E16" i="7" s="1"/>
  <c r="D7" i="7"/>
  <c r="E7" i="7" s="1"/>
  <c r="F7" i="7" s="1"/>
  <c r="B8" i="7"/>
  <c r="B9" i="7"/>
  <c r="B10" i="7"/>
  <c r="B11" i="7"/>
  <c r="B12" i="7"/>
  <c r="B13" i="7"/>
  <c r="B14" i="7"/>
  <c r="B15" i="7"/>
  <c r="B7" i="7"/>
  <c r="B5" i="4"/>
  <c r="C25" i="5"/>
  <c r="E19" i="5"/>
  <c r="E15" i="5"/>
  <c r="E12" i="5"/>
  <c r="E8" i="5"/>
  <c r="E20" i="5" s="1"/>
  <c r="G14" i="7" l="1"/>
  <c r="F14" i="7"/>
  <c r="G8" i="7"/>
  <c r="C23" i="7" s="1"/>
  <c r="F8" i="7"/>
  <c r="G11" i="7"/>
  <c r="F11" i="7"/>
  <c r="F9" i="7"/>
  <c r="G9" i="7" s="1"/>
  <c r="C22" i="7" s="1"/>
  <c r="F12" i="7"/>
  <c r="G12" i="7" s="1"/>
  <c r="J21" i="12"/>
  <c r="J17" i="12"/>
  <c r="J13" i="12"/>
  <c r="J24" i="12"/>
  <c r="J19" i="12"/>
  <c r="J14" i="12"/>
  <c r="J23" i="12"/>
  <c r="J18" i="12"/>
  <c r="J12" i="12"/>
  <c r="J22" i="12"/>
  <c r="J16" i="12"/>
  <c r="J11" i="12"/>
  <c r="J20" i="12"/>
  <c r="J15" i="12"/>
  <c r="J10" i="12"/>
  <c r="K25" i="12"/>
  <c r="J9" i="12"/>
  <c r="K9" i="12" s="1"/>
  <c r="F10" i="7"/>
  <c r="G10" i="7" s="1"/>
  <c r="F15" i="7"/>
  <c r="G15" i="7" s="1"/>
  <c r="F16" i="7"/>
  <c r="G16" i="7" s="1"/>
  <c r="G13" i="7"/>
  <c r="F13" i="7"/>
  <c r="G7" i="7"/>
  <c r="H53" i="4"/>
  <c r="C53" i="4"/>
  <c r="F53" i="4" s="1"/>
  <c r="B53" i="4"/>
  <c r="H49" i="4"/>
  <c r="C49" i="4"/>
  <c r="F49" i="4" s="1"/>
  <c r="B49" i="4"/>
  <c r="H46" i="4"/>
  <c r="C46" i="4"/>
  <c r="F46" i="4" s="1"/>
  <c r="B46" i="4"/>
  <c r="H48" i="4"/>
  <c r="C48" i="4"/>
  <c r="F48" i="4" s="1"/>
  <c r="B48" i="4"/>
  <c r="H54" i="4"/>
  <c r="C54" i="4"/>
  <c r="F54" i="4" s="1"/>
  <c r="B54" i="4"/>
  <c r="H44" i="4"/>
  <c r="C44" i="4"/>
  <c r="F44" i="4" s="1"/>
  <c r="B44" i="4"/>
  <c r="H45" i="4"/>
  <c r="C45" i="4"/>
  <c r="F45" i="4" s="1"/>
  <c r="B45" i="4"/>
  <c r="H51" i="4"/>
  <c r="C51" i="4"/>
  <c r="F51" i="4" s="1"/>
  <c r="B51" i="4"/>
  <c r="H50" i="4"/>
  <c r="C50" i="4"/>
  <c r="F50" i="4" s="1"/>
  <c r="B50" i="4"/>
  <c r="H55" i="4"/>
  <c r="C55" i="4"/>
  <c r="F55" i="4" s="1"/>
  <c r="B55" i="4"/>
  <c r="H42" i="4"/>
  <c r="C42" i="4"/>
  <c r="F42" i="4" s="1"/>
  <c r="B42" i="4"/>
  <c r="H43" i="4"/>
  <c r="C43" i="4"/>
  <c r="E43" i="4" s="1"/>
  <c r="I43" i="4" s="1"/>
  <c r="B43" i="4"/>
  <c r="H41" i="4"/>
  <c r="C41" i="4"/>
  <c r="E41" i="4" s="1"/>
  <c r="B41" i="4"/>
  <c r="H6" i="4"/>
  <c r="H7" i="4"/>
  <c r="H8" i="4"/>
  <c r="H9" i="4"/>
  <c r="H10" i="4"/>
  <c r="H11" i="4"/>
  <c r="H12" i="4"/>
  <c r="H13" i="4"/>
  <c r="H14" i="4"/>
  <c r="H15" i="4"/>
  <c r="H16" i="4"/>
  <c r="H17" i="4"/>
  <c r="H5" i="4"/>
  <c r="C6" i="4"/>
  <c r="F6" i="4" s="1"/>
  <c r="C7" i="4"/>
  <c r="K7" i="4" s="1"/>
  <c r="C8" i="4"/>
  <c r="F8" i="4" s="1"/>
  <c r="C9" i="4"/>
  <c r="K9" i="4" s="1"/>
  <c r="C10" i="4"/>
  <c r="F10" i="4" s="1"/>
  <c r="C11" i="4"/>
  <c r="K11" i="4" s="1"/>
  <c r="C12" i="4"/>
  <c r="F12" i="4" s="1"/>
  <c r="C13" i="4"/>
  <c r="K13" i="4" s="1"/>
  <c r="C14" i="4"/>
  <c r="F14" i="4" s="1"/>
  <c r="C15" i="4"/>
  <c r="K15" i="4" s="1"/>
  <c r="C16" i="4"/>
  <c r="F16" i="4" s="1"/>
  <c r="C17" i="4"/>
  <c r="K17" i="4" s="1"/>
  <c r="C5" i="4"/>
  <c r="F5" i="4" s="1"/>
  <c r="F13" i="5"/>
  <c r="F16" i="5"/>
  <c r="F17" i="5"/>
  <c r="F9" i="5"/>
  <c r="F7" i="5"/>
  <c r="E29" i="5" s="1"/>
  <c r="F10" i="5"/>
  <c r="F5" i="5"/>
  <c r="F14" i="5"/>
  <c r="F11" i="5"/>
  <c r="F6" i="5"/>
  <c r="F18" i="5"/>
  <c r="E28" i="5" l="1"/>
  <c r="C21" i="7"/>
  <c r="C20" i="7"/>
  <c r="K10" i="12"/>
  <c r="K15" i="12"/>
  <c r="K20" i="12"/>
  <c r="K11" i="12"/>
  <c r="K16" i="12"/>
  <c r="K22" i="12"/>
  <c r="K12" i="12"/>
  <c r="K18" i="12"/>
  <c r="K23" i="12"/>
  <c r="K14" i="12"/>
  <c r="K19" i="12"/>
  <c r="K24" i="12"/>
  <c r="K13" i="12"/>
  <c r="K17" i="12"/>
  <c r="K21" i="12"/>
  <c r="I41" i="4"/>
  <c r="F17" i="4"/>
  <c r="F13" i="4"/>
  <c r="F9" i="4"/>
  <c r="F15" i="4"/>
  <c r="F11" i="4"/>
  <c r="F7" i="4"/>
  <c r="K5" i="4"/>
  <c r="K16" i="4"/>
  <c r="K14" i="4"/>
  <c r="K12" i="4"/>
  <c r="K10" i="4"/>
  <c r="K8" i="4"/>
  <c r="K6" i="4"/>
  <c r="F41" i="4"/>
  <c r="F43" i="4"/>
  <c r="E42" i="4"/>
  <c r="I42" i="4" s="1"/>
  <c r="E55" i="4"/>
  <c r="I55" i="4" s="1"/>
  <c r="E50" i="4"/>
  <c r="I50" i="4" s="1"/>
  <c r="E51" i="4"/>
  <c r="I51" i="4" s="1"/>
  <c r="E45" i="4"/>
  <c r="I45" i="4" s="1"/>
  <c r="E44" i="4"/>
  <c r="I44" i="4" s="1"/>
  <c r="E54" i="4"/>
  <c r="I54" i="4" s="1"/>
  <c r="E48" i="4"/>
  <c r="E46" i="4"/>
  <c r="I46" i="4" s="1"/>
  <c r="E49" i="4"/>
  <c r="I49" i="4" s="1"/>
  <c r="E53" i="4"/>
  <c r="E5" i="4"/>
  <c r="I5" i="4" s="1"/>
  <c r="C30" i="12" l="1"/>
  <c r="I47" i="4"/>
  <c r="I53" i="4"/>
  <c r="I56" i="4" s="1"/>
  <c r="I48" i="4"/>
  <c r="I52" i="4" s="1"/>
  <c r="E16" i="4"/>
  <c r="I16" i="4" s="1"/>
  <c r="E14" i="4"/>
  <c r="I14" i="4" s="1"/>
  <c r="E12" i="4"/>
  <c r="I12" i="4" s="1"/>
  <c r="E10" i="4"/>
  <c r="I10" i="4" s="1"/>
  <c r="E8" i="4"/>
  <c r="I8" i="4" s="1"/>
  <c r="E6" i="4"/>
  <c r="I6" i="4" s="1"/>
  <c r="E17" i="4"/>
  <c r="I17" i="4" s="1"/>
  <c r="E15" i="4"/>
  <c r="I15" i="4" s="1"/>
  <c r="E13" i="4"/>
  <c r="I13" i="4" s="1"/>
  <c r="E11" i="4"/>
  <c r="I11" i="4" s="1"/>
  <c r="E9" i="4"/>
  <c r="I9" i="4" s="1"/>
  <c r="E7" i="4"/>
  <c r="I7" i="4" s="1"/>
  <c r="B6" i="4"/>
  <c r="B7" i="4"/>
  <c r="B8" i="4"/>
  <c r="B9" i="4"/>
  <c r="B10" i="4"/>
  <c r="B11" i="4"/>
  <c r="B12" i="4"/>
  <c r="B13" i="4"/>
  <c r="B14" i="4"/>
  <c r="B15" i="4"/>
  <c r="B16" i="4"/>
  <c r="B17" i="4"/>
  <c r="I57" i="4" l="1"/>
  <c r="F12" i="2"/>
  <c r="F14" i="2"/>
  <c r="F16" i="2"/>
  <c r="F10" i="2"/>
  <c r="E11" i="2"/>
  <c r="F11" i="2" s="1"/>
  <c r="E12" i="2"/>
  <c r="G12" i="2" s="1"/>
  <c r="H12" i="2" s="1"/>
  <c r="E13" i="2"/>
  <c r="F13" i="2" s="1"/>
  <c r="E14" i="2"/>
  <c r="G14" i="2" s="1"/>
  <c r="H14" i="2" s="1"/>
  <c r="E15" i="2"/>
  <c r="F15" i="2" s="1"/>
  <c r="E16" i="2"/>
  <c r="G16" i="2" s="1"/>
  <c r="H16" i="2" s="1"/>
  <c r="E10" i="2"/>
  <c r="G10" i="2" s="1"/>
  <c r="H10" i="2" s="1"/>
  <c r="C11" i="2"/>
  <c r="C12" i="2"/>
  <c r="C13" i="2"/>
  <c r="C14" i="2"/>
  <c r="C15" i="2"/>
  <c r="C16" i="2"/>
  <c r="C10" i="2"/>
  <c r="B11" i="2"/>
  <c r="B12" i="2"/>
  <c r="B13" i="2"/>
  <c r="B14" i="2"/>
  <c r="B15" i="2"/>
  <c r="B16" i="2"/>
  <c r="B10" i="2"/>
  <c r="J6" i="2"/>
  <c r="B5" i="2"/>
  <c r="B4" i="2"/>
  <c r="G15" i="2" l="1"/>
  <c r="H15" i="2" s="1"/>
  <c r="G13" i="2"/>
  <c r="H13" i="2" s="1"/>
  <c r="G11" i="2"/>
  <c r="H11" i="2" s="1"/>
  <c r="I11" i="2" s="1"/>
  <c r="I14" i="2"/>
  <c r="J14" i="2" s="1"/>
  <c r="I10" i="2"/>
  <c r="J10" i="2" s="1"/>
  <c r="I13" i="2"/>
  <c r="I16" i="2"/>
  <c r="J16" i="2" s="1"/>
  <c r="I12" i="2"/>
  <c r="J12" i="2" s="1"/>
  <c r="I15" i="2"/>
  <c r="J11" i="2" l="1"/>
  <c r="J15" i="2"/>
  <c r="J13" i="2"/>
  <c r="J17" i="2" s="1"/>
  <c r="D19" i="2" s="1"/>
  <c r="H17" i="2"/>
  <c r="I17" i="2"/>
</calcChain>
</file>

<file path=xl/sharedStrings.xml><?xml version="1.0" encoding="utf-8"?>
<sst xmlns="http://schemas.openxmlformats.org/spreadsheetml/2006/main" count="421" uniqueCount="256">
  <si>
    <t>Fecha:</t>
  </si>
  <si>
    <t>Cliente:</t>
  </si>
  <si>
    <t>Domicilio:</t>
  </si>
  <si>
    <t>Código</t>
  </si>
  <si>
    <t>Rubro</t>
  </si>
  <si>
    <t>Descripción</t>
  </si>
  <si>
    <t>Cantidad</t>
  </si>
  <si>
    <t>Importes</t>
  </si>
  <si>
    <t>Unitario</t>
  </si>
  <si>
    <t>Descuento</t>
  </si>
  <si>
    <t>Neto</t>
  </si>
  <si>
    <t>Total</t>
  </si>
  <si>
    <t>IVA</t>
  </si>
  <si>
    <t>Final</t>
  </si>
  <si>
    <t>Detalle del producto</t>
  </si>
  <si>
    <t xml:space="preserve">Ud acumuló con ésta compra: </t>
  </si>
  <si>
    <t>Lo esperamos nuevamente!!</t>
  </si>
  <si>
    <t>TABLA DE PRODUCTOS A LA VENTA</t>
  </si>
  <si>
    <t>Precio unitario</t>
  </si>
  <si>
    <t>Almacén</t>
  </si>
  <si>
    <t>Perfumería</t>
  </si>
  <si>
    <t>Limpieza</t>
  </si>
  <si>
    <t>Bebidas</t>
  </si>
  <si>
    <t>Carnicería</t>
  </si>
  <si>
    <t>Yerba "Yuyito"</t>
  </si>
  <si>
    <t>Azucar "Sur"</t>
  </si>
  <si>
    <t>Colonia "Y2K"</t>
  </si>
  <si>
    <t>Jabón "Shock"</t>
  </si>
  <si>
    <t>Agua "H2O"</t>
  </si>
  <si>
    <t>Jugo "Hugo"</t>
  </si>
  <si>
    <t>Lomo</t>
  </si>
  <si>
    <t>Algodón "Copo"</t>
  </si>
  <si>
    <t>Sopa "Nor Suecia"</t>
  </si>
  <si>
    <t>Asado</t>
  </si>
  <si>
    <t>Porcentaje IVA:</t>
  </si>
  <si>
    <t>Situación</t>
  </si>
  <si>
    <t>Porcentaje</t>
  </si>
  <si>
    <t>TABLA DEL IVA</t>
  </si>
  <si>
    <t>R.I.</t>
  </si>
  <si>
    <t>R.N.I.</t>
  </si>
  <si>
    <t>Exento</t>
  </si>
  <si>
    <t>A</t>
  </si>
  <si>
    <t>B</t>
  </si>
  <si>
    <t>C</t>
  </si>
  <si>
    <t>Marca</t>
  </si>
  <si>
    <t>Modelo</t>
  </si>
  <si>
    <t>Origen</t>
  </si>
  <si>
    <t>Peugeot</t>
  </si>
  <si>
    <t>Nacional</t>
  </si>
  <si>
    <t>Importado</t>
  </si>
  <si>
    <t>Fiat</t>
  </si>
  <si>
    <t>Siena</t>
  </si>
  <si>
    <t>Chevrolet</t>
  </si>
  <si>
    <t>Corsa</t>
  </si>
  <si>
    <t>Uno</t>
  </si>
  <si>
    <t>Ford</t>
  </si>
  <si>
    <t>Mondeo</t>
  </si>
  <si>
    <t>Fiesta</t>
  </si>
  <si>
    <t>Unidades</t>
  </si>
  <si>
    <t>Modelos</t>
  </si>
  <si>
    <t>CODIGO</t>
  </si>
  <si>
    <t>PRODUCTO</t>
  </si>
  <si>
    <t>PLAN ELEGIDO</t>
  </si>
  <si>
    <t>PRECIO LISTA</t>
  </si>
  <si>
    <t>IBM</t>
  </si>
  <si>
    <t>EPSON</t>
  </si>
  <si>
    <t>HP</t>
  </si>
  <si>
    <t>TEXAS</t>
  </si>
  <si>
    <t>SAMSUNG</t>
  </si>
  <si>
    <t>TOSHIBA</t>
  </si>
  <si>
    <t>COMPAQ</t>
  </si>
  <si>
    <t>CUOTAS</t>
  </si>
  <si>
    <t>Nº Vuelo</t>
  </si>
  <si>
    <t>Destino</t>
  </si>
  <si>
    <t>Precio</t>
  </si>
  <si>
    <t>Tasa de embarque</t>
  </si>
  <si>
    <t>Mardel</t>
  </si>
  <si>
    <t>Córdoba</t>
  </si>
  <si>
    <t>Bariloche</t>
  </si>
  <si>
    <t>Mendoza</t>
  </si>
  <si>
    <t>S</t>
  </si>
  <si>
    <t>N</t>
  </si>
  <si>
    <t>Exceso de equipaje</t>
  </si>
  <si>
    <t>Exceso, por kg</t>
  </si>
  <si>
    <t>Desc. banda negativa</t>
  </si>
  <si>
    <t>Imp.al turismo</t>
  </si>
  <si>
    <t>Rosario</t>
  </si>
  <si>
    <t>Tucumán</t>
  </si>
  <si>
    <t>Ushuaia</t>
  </si>
  <si>
    <t>EMPRESA "LOS NOGALES S.R.L."</t>
  </si>
  <si>
    <t>Planilla de Empleados</t>
  </si>
  <si>
    <t>Fecha</t>
  </si>
  <si>
    <t>Nº de legajo</t>
  </si>
  <si>
    <t>Apellido</t>
  </si>
  <si>
    <t>Nombre</t>
  </si>
  <si>
    <t>Fecha de Ingreso</t>
  </si>
  <si>
    <t>Sueldo</t>
  </si>
  <si>
    <t>Antigüedad</t>
  </si>
  <si>
    <t>Adicional por antigüedad</t>
  </si>
  <si>
    <t>Título terciario</t>
  </si>
  <si>
    <t>Adicional por título</t>
  </si>
  <si>
    <t>Sueldo con Adicionales</t>
  </si>
  <si>
    <t>Calleja</t>
  </si>
  <si>
    <t>José</t>
  </si>
  <si>
    <t>EJECUTIVO</t>
  </si>
  <si>
    <t>Magno</t>
  </si>
  <si>
    <t>Silvia</t>
  </si>
  <si>
    <t>Fuentes</t>
  </si>
  <si>
    <t>Angel</t>
  </si>
  <si>
    <t>FABRICACION</t>
  </si>
  <si>
    <t>Hernández</t>
  </si>
  <si>
    <t>Susana</t>
  </si>
  <si>
    <t>Vergara</t>
  </si>
  <si>
    <t>David</t>
  </si>
  <si>
    <t>VENTAS</t>
  </si>
  <si>
    <t>Diaz</t>
  </si>
  <si>
    <t>Marina</t>
  </si>
  <si>
    <t>Pacheco</t>
  </si>
  <si>
    <t>Jorge</t>
  </si>
  <si>
    <t>MARKETING</t>
  </si>
  <si>
    <t>Reglez</t>
  </si>
  <si>
    <t>Fernando</t>
  </si>
  <si>
    <t>Alcalde</t>
  </si>
  <si>
    <t>DISTRIBUCION</t>
  </si>
  <si>
    <t>Usero</t>
  </si>
  <si>
    <t>Lucio</t>
  </si>
  <si>
    <t>Yuste</t>
  </si>
  <si>
    <t>Cristina</t>
  </si>
  <si>
    <t>Martínez</t>
  </si>
  <si>
    <t>Lisa</t>
  </si>
  <si>
    <t>OPERACIONES</t>
  </si>
  <si>
    <t>Alonso</t>
  </si>
  <si>
    <t>Juan</t>
  </si>
  <si>
    <t>Salas</t>
  </si>
  <si>
    <t>María</t>
  </si>
  <si>
    <t>Calvillo</t>
  </si>
  <si>
    <t>Julia</t>
  </si>
  <si>
    <t>INFORMATICA</t>
  </si>
  <si>
    <t>Bermejo</t>
  </si>
  <si>
    <t>Gregorio</t>
  </si>
  <si>
    <t>Ramallo</t>
  </si>
  <si>
    <t>Ana</t>
  </si>
  <si>
    <t>Total de empleados:</t>
  </si>
  <si>
    <t>Cantidad de ejecutivos:</t>
  </si>
  <si>
    <t>Departamento</t>
  </si>
  <si>
    <t>I-MMXII</t>
  </si>
  <si>
    <t>ACER</t>
  </si>
  <si>
    <t>Hora:</t>
  </si>
  <si>
    <t>Juan Carlos Moreno</t>
  </si>
  <si>
    <t>Arieta 909 San Justo</t>
  </si>
  <si>
    <t>puntos para canjear por premios.</t>
  </si>
  <si>
    <t>Bazar</t>
  </si>
  <si>
    <t>Pava</t>
  </si>
  <si>
    <t>Colador</t>
  </si>
  <si>
    <t>Gaseosa "9up"</t>
  </si>
  <si>
    <t>Atún "Tuna"</t>
  </si>
  <si>
    <t>SUPERMERCADO "YING YANG"</t>
  </si>
  <si>
    <t>VENTAS DEL PRIMER TRIMESTRE AÑO 2014</t>
  </si>
  <si>
    <t>Palio</t>
  </si>
  <si>
    <t>Cruze</t>
  </si>
  <si>
    <t>C-10</t>
  </si>
  <si>
    <t>Cantidad de legajos &gt;= 2000</t>
  </si>
  <si>
    <t>TOTALES A ABONAR:</t>
  </si>
  <si>
    <t>Precio total</t>
  </si>
  <si>
    <t>Total importados</t>
  </si>
  <si>
    <t>Total nacionales</t>
  </si>
  <si>
    <t>Precio total de unidades de origen:</t>
  </si>
  <si>
    <t>Promedio de precio total de marca:</t>
  </si>
  <si>
    <t>LG</t>
  </si>
  <si>
    <t>APPLE</t>
  </si>
  <si>
    <t>COMPU MAX S.A.</t>
  </si>
  <si>
    <t>TU EMPRESA DE COMPUTACIÓN</t>
  </si>
  <si>
    <t>PLAN 0</t>
  </si>
  <si>
    <t>PLAN 1</t>
  </si>
  <si>
    <t>PLAN 2</t>
  </si>
  <si>
    <t>PLAN 3</t>
  </si>
  <si>
    <t>VENTAS DEL DIA</t>
  </si>
  <si>
    <t>INTERES</t>
  </si>
  <si>
    <t>AA1420</t>
  </si>
  <si>
    <t>AU1320</t>
  </si>
  <si>
    <t>LA3200</t>
  </si>
  <si>
    <t>AA1480</t>
  </si>
  <si>
    <t>LA3300</t>
  </si>
  <si>
    <t>LA5500</t>
  </si>
  <si>
    <t>AU3030</t>
  </si>
  <si>
    <t>LA2500</t>
  </si>
  <si>
    <t>GO4500</t>
  </si>
  <si>
    <t>AA2790</t>
  </si>
  <si>
    <t>Sueldos con adic. VENTAS:</t>
  </si>
  <si>
    <t>ATENCION DE PACIENTES</t>
  </si>
  <si>
    <t>Paciente</t>
  </si>
  <si>
    <t>Especialidad</t>
  </si>
  <si>
    <t>Prioridad</t>
  </si>
  <si>
    <t>Estudios</t>
  </si>
  <si>
    <t>Arancel</t>
  </si>
  <si>
    <t>si</t>
  </si>
  <si>
    <t>no</t>
  </si>
  <si>
    <t>D</t>
  </si>
  <si>
    <t>E</t>
  </si>
  <si>
    <t>Gómez, Mario</t>
  </si>
  <si>
    <t>Oftalmología</t>
  </si>
  <si>
    <t>Clínica</t>
  </si>
  <si>
    <t>Traumatología</t>
  </si>
  <si>
    <t>Pediatría</t>
  </si>
  <si>
    <t>Dermatología</t>
  </si>
  <si>
    <t>Pérez, Roberto</t>
  </si>
  <si>
    <t>López, Ana</t>
  </si>
  <si>
    <t>Vilches, Luis</t>
  </si>
  <si>
    <t>Flores, Pedro</t>
  </si>
  <si>
    <t>Forino, Hector</t>
  </si>
  <si>
    <t>Jerez, Marcos</t>
  </si>
  <si>
    <t>Ponce, Helena</t>
  </si>
  <si>
    <t>Pitani, José</t>
  </si>
  <si>
    <t>Pitani, Luisa</t>
  </si>
  <si>
    <t>López, María</t>
  </si>
  <si>
    <t>Pietra, Laura</t>
  </si>
  <si>
    <t>Llach, Martin</t>
  </si>
  <si>
    <t>Olmedo, Leonor</t>
  </si>
  <si>
    <t>Rosso, Marta</t>
  </si>
  <si>
    <t>Libre hasta:</t>
  </si>
  <si>
    <t>Situación 
I.V.A:</t>
  </si>
  <si>
    <t>Código de
 paciente</t>
  </si>
  <si>
    <t>Fecha de
 consulta</t>
  </si>
  <si>
    <t>Nro. 
Consultorio</t>
  </si>
  <si>
    <t>Prox. 
Consulta</t>
  </si>
  <si>
    <t>Código de 
paciente</t>
  </si>
  <si>
    <t>Código de 
especialidad</t>
  </si>
  <si>
    <t>PLAN 
ELEGIDO</t>
  </si>
  <si>
    <t>PRECIO 
LISTA</t>
  </si>
  <si>
    <t>VALOR 
CUOTA</t>
  </si>
  <si>
    <t>VALOR 
INTERESES</t>
  </si>
  <si>
    <t>PRECIO 
FINAL</t>
  </si>
  <si>
    <t>Tasa de 
embarque</t>
  </si>
  <si>
    <t>Impuesto
 al turismo</t>
  </si>
  <si>
    <t>Kg. 
equipaje</t>
  </si>
  <si>
    <t>Exceso 
equipaje</t>
  </si>
  <si>
    <t>Banda 
negativa</t>
  </si>
  <si>
    <t>Descuento 
Banda Neg.</t>
  </si>
  <si>
    <t>Total a 
pagar</t>
  </si>
  <si>
    <t>Aerolinea Nacional</t>
  </si>
  <si>
    <t>especialidad requerida</t>
  </si>
  <si>
    <t>Fecha R</t>
  </si>
  <si>
    <t>Total general</t>
  </si>
  <si>
    <t>Total alta</t>
  </si>
  <si>
    <t>Total Baja</t>
  </si>
  <si>
    <t>Total normal</t>
  </si>
  <si>
    <t>Máx. Chevrolet</t>
  </si>
  <si>
    <t>Máx. Fiat</t>
  </si>
  <si>
    <t>Máx. Ford</t>
  </si>
  <si>
    <t>Máx. Peugeot</t>
  </si>
  <si>
    <t>Máximo general</t>
  </si>
  <si>
    <t>nacional</t>
  </si>
  <si>
    <t>"CTII-MMXV-2C"</t>
  </si>
  <si>
    <t>sueldo</t>
  </si>
  <si>
    <t>Asignación</t>
  </si>
  <si>
    <t>BARILOCHE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</si>
</sst>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 &quot;$&quot;\ * #,##0_ ;_ &quot;$&quot;\ * \-#,##0_ ;_ &quot;$&quot;\ * &quot;-&quot;_ ;_ @_ "/>
    <numFmt numFmtId="44" formatCode="_ &quot;$&quot;\ * #,##0.00_ ;_ &quot;$&quot;\ * \-#,##0.00_ ;_ &quot;$&quot;\ * &quot;-&quot;??_ ;_ @_ "/>
    <numFmt numFmtId="164" formatCode="_-* #,##0.00\ &quot;Pts&quot;_-;\-* #,##0.00\ &quot;Pts&quot;_-;_-* &quot;-&quot;??\ &quot;Pts&quot;_-;_-@_-"/>
    <numFmt numFmtId="165" formatCode="[$$-2C0A]\ #,##0.00"/>
    <numFmt numFmtId="166" formatCode="_-* #,##0.00\ [$€]_-;\-* #,##0.00\ [$€]_-;_-* &quot;-&quot;??\ [$€]_-;_-@_-"/>
    <numFmt numFmtId="167" formatCode="&quot;$&quot;#,##0.00"/>
    <numFmt numFmtId="168" formatCode="0.0%"/>
    <numFmt numFmtId="169" formatCode="[$-2C0A]d&quot; de &quot;mmmm&quot; de &quot;yyyy;@"/>
    <numFmt numFmtId="170" formatCode="hh:mm:ss;@"/>
    <numFmt numFmtId="171" formatCode="&quot;$&quot;\ #,##0"/>
    <numFmt numFmtId="172" formatCode="dd\-mm\-yy;@"/>
    <numFmt numFmtId="173" formatCode="##\ &quot;Años&quot;"/>
    <numFmt numFmtId="174" formatCode="##\ &quot;Kg&quot;"/>
    <numFmt numFmtId="175" formatCode="_ &quot;$&quot;\ * #,##0.00_ ;_ &quot;$&quot;\ * \-#,##0.00_ ;_ &quot;$&quot;\ * &quot;-&quot;_ ;_ @_ 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8"/>
      <name val="MV Boli"/>
    </font>
    <font>
      <b/>
      <sz val="14"/>
      <name val="Narkisim"/>
      <family val="2"/>
      <charset val="177"/>
    </font>
    <font>
      <b/>
      <sz val="9"/>
      <name val="Arial"/>
      <family val="2"/>
    </font>
    <font>
      <sz val="14"/>
      <name val="Arial"/>
      <family val="2"/>
    </font>
    <font>
      <sz val="16"/>
      <name val="Aharoni"/>
      <charset val="177"/>
    </font>
    <font>
      <sz val="14"/>
      <color theme="0"/>
      <name val="Segoe Script"/>
      <family val="2"/>
    </font>
    <font>
      <b/>
      <sz val="16"/>
      <name val="Verdana"/>
      <family val="2"/>
    </font>
    <font>
      <sz val="14"/>
      <name val="Constantia"/>
      <family val="1"/>
    </font>
    <font>
      <b/>
      <sz val="10"/>
      <name val="Cambria"/>
      <family val="1"/>
      <scheme val="major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9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0" borderId="0" xfId="0" applyAlignment="1"/>
    <xf numFmtId="9" fontId="0" fillId="0" borderId="1" xfId="0" applyNumberFormat="1" applyBorder="1"/>
    <xf numFmtId="0" fontId="0" fillId="0" borderId="1" xfId="0" applyBorder="1"/>
    <xf numFmtId="10" fontId="0" fillId="0" borderId="1" xfId="0" applyNumberFormat="1" applyBorder="1"/>
    <xf numFmtId="0" fontId="0" fillId="0" borderId="1" xfId="0" applyBorder="1" applyAlignment="1">
      <alignment horizontal="right"/>
    </xf>
    <xf numFmtId="165" fontId="0" fillId="0" borderId="1" xfId="2" applyNumberFormat="1" applyFont="1" applyBorder="1"/>
    <xf numFmtId="167" fontId="0" fillId="0" borderId="1" xfId="0" applyNumberFormat="1" applyBorder="1"/>
    <xf numFmtId="0" fontId="1" fillId="0" borderId="0" xfId="0" applyFont="1"/>
    <xf numFmtId="0" fontId="0" fillId="0" borderId="0" xfId="0" applyFill="1" applyAlignment="1">
      <alignment horizontal="center"/>
    </xf>
    <xf numFmtId="0" fontId="0" fillId="0" borderId="0" xfId="0" applyBorder="1"/>
    <xf numFmtId="10" fontId="0" fillId="0" borderId="0" xfId="0" applyNumberFormat="1" applyBorder="1"/>
    <xf numFmtId="168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0" xfId="0" applyFill="1" applyBorder="1" applyAlignment="1"/>
    <xf numFmtId="0" fontId="0" fillId="0" borderId="0" xfId="0" applyBorder="1" applyAlignment="1"/>
    <xf numFmtId="167" fontId="0" fillId="0" borderId="0" xfId="0" applyNumberFormat="1" applyBorder="1"/>
    <xf numFmtId="14" fontId="3" fillId="0" borderId="0" xfId="0" applyNumberFormat="1" applyFont="1"/>
    <xf numFmtId="0" fontId="0" fillId="0" borderId="1" xfId="0" applyBorder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4" fillId="0" borderId="1" xfId="0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0" fillId="0" borderId="1" xfId="0" applyNumberFormat="1" applyBorder="1"/>
    <xf numFmtId="1" fontId="0" fillId="0" borderId="5" xfId="0" applyNumberForma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0" fillId="6" borderId="1" xfId="0" applyFill="1" applyBorder="1"/>
    <xf numFmtId="0" fontId="1" fillId="6" borderId="1" xfId="0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4" fillId="6" borderId="1" xfId="0" applyFont="1" applyFill="1" applyBorder="1"/>
    <xf numFmtId="42" fontId="0" fillId="6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4" fontId="0" fillId="8" borderId="1" xfId="0" applyNumberFormat="1" applyFill="1" applyBorder="1" applyAlignment="1">
      <alignment horizontal="center"/>
    </xf>
    <xf numFmtId="49" fontId="1" fillId="15" borderId="0" xfId="0" applyNumberFormat="1" applyFont="1" applyFill="1" applyAlignment="1">
      <alignment vertical="center"/>
    </xf>
    <xf numFmtId="0" fontId="1" fillId="15" borderId="0" xfId="0" applyFont="1" applyFill="1" applyAlignment="1">
      <alignment vertical="center"/>
    </xf>
    <xf numFmtId="0" fontId="4" fillId="0" borderId="14" xfId="0" applyFont="1" applyBorder="1"/>
    <xf numFmtId="0" fontId="4" fillId="0" borderId="15" xfId="0" applyFont="1" applyBorder="1"/>
    <xf numFmtId="0" fontId="1" fillId="0" borderId="12" xfId="0" applyNumberFormat="1" applyFont="1" applyBorder="1" applyAlignment="1">
      <alignment horizontal="center"/>
    </xf>
    <xf numFmtId="49" fontId="0" fillId="16" borderId="9" xfId="0" applyNumberFormat="1" applyFill="1" applyBorder="1"/>
    <xf numFmtId="0" fontId="0" fillId="16" borderId="10" xfId="0" applyFill="1" applyBorder="1"/>
    <xf numFmtId="49" fontId="4" fillId="16" borderId="12" xfId="0" applyNumberFormat="1" applyFont="1" applyFill="1" applyBorder="1"/>
    <xf numFmtId="0" fontId="4" fillId="16" borderId="0" xfId="0" applyFont="1" applyFill="1" applyBorder="1"/>
    <xf numFmtId="0" fontId="4" fillId="16" borderId="14" xfId="0" applyFont="1" applyFill="1" applyBorder="1"/>
    <xf numFmtId="0" fontId="4" fillId="16" borderId="15" xfId="0" applyFont="1" applyFill="1" applyBorder="1"/>
    <xf numFmtId="9" fontId="4" fillId="16" borderId="9" xfId="0" applyNumberFormat="1" applyFont="1" applyFill="1" applyBorder="1" applyAlignment="1">
      <alignment horizontal="center"/>
    </xf>
    <xf numFmtId="0" fontId="4" fillId="16" borderId="11" xfId="0" applyFont="1" applyFill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5" xfId="0" applyFont="1" applyFill="1" applyBorder="1"/>
    <xf numFmtId="0" fontId="1" fillId="0" borderId="1" xfId="0" applyFont="1" applyBorder="1" applyAlignment="1">
      <alignment horizontal="center" wrapText="1"/>
    </xf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4" fillId="13" borderId="1" xfId="0" applyFont="1" applyFill="1" applyBorder="1"/>
    <xf numFmtId="10" fontId="4" fillId="13" borderId="1" xfId="0" applyNumberFormat="1" applyFont="1" applyFill="1" applyBorder="1" applyAlignment="1">
      <alignment horizontal="center"/>
    </xf>
    <xf numFmtId="9" fontId="4" fillId="13" borderId="1" xfId="0" applyNumberFormat="1" applyFont="1" applyFill="1" applyBorder="1"/>
    <xf numFmtId="0" fontId="1" fillId="10" borderId="1" xfId="0" applyFont="1" applyFill="1" applyBorder="1" applyAlignment="1"/>
    <xf numFmtId="0" fontId="0" fillId="10" borderId="1" xfId="0" applyFill="1" applyBorder="1" applyAlignment="1"/>
    <xf numFmtId="0" fontId="0" fillId="10" borderId="1" xfId="0" applyFill="1" applyBorder="1"/>
    <xf numFmtId="0" fontId="4" fillId="10" borderId="1" xfId="0" applyFont="1" applyFill="1" applyBorder="1"/>
    <xf numFmtId="0" fontId="4" fillId="10" borderId="1" xfId="0" applyFont="1" applyFill="1" applyBorder="1" applyAlignment="1">
      <alignment horizontal="center"/>
    </xf>
    <xf numFmtId="0" fontId="4" fillId="11" borderId="1" xfId="0" applyFont="1" applyFill="1" applyBorder="1" applyAlignment="1"/>
    <xf numFmtId="0" fontId="4" fillId="6" borderId="18" xfId="0" applyFont="1" applyFill="1" applyBorder="1" applyAlignment="1">
      <alignment horizontal="center" vertical="center" wrapText="1"/>
    </xf>
    <xf numFmtId="42" fontId="0" fillId="8" borderId="1" xfId="0" applyNumberFormat="1" applyFill="1" applyBorder="1"/>
    <xf numFmtId="0" fontId="0" fillId="0" borderId="0" xfId="0" applyBorder="1" applyAlignment="1">
      <alignment horizontal="center"/>
    </xf>
    <xf numFmtId="14" fontId="0" fillId="8" borderId="0" xfId="0" applyNumberFormat="1" applyFill="1" applyBorder="1" applyAlignment="1">
      <alignment horizontal="center"/>
    </xf>
    <xf numFmtId="42" fontId="0" fillId="8" borderId="0" xfId="0" applyNumberFormat="1" applyFill="1" applyBorder="1"/>
    <xf numFmtId="0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44" fontId="0" fillId="0" borderId="0" xfId="0" applyNumberFormat="1"/>
    <xf numFmtId="171" fontId="1" fillId="0" borderId="0" xfId="0" applyNumberFormat="1" applyFont="1" applyAlignment="1">
      <alignment horizontal="right"/>
    </xf>
    <xf numFmtId="49" fontId="4" fillId="0" borderId="0" xfId="0" applyNumberFormat="1" applyFont="1"/>
    <xf numFmtId="171" fontId="1" fillId="0" borderId="11" xfId="0" applyNumberFormat="1" applyFont="1" applyBorder="1" applyAlignment="1">
      <alignment horizontal="center"/>
    </xf>
    <xf numFmtId="44" fontId="0" fillId="8" borderId="1" xfId="0" applyNumberFormat="1" applyFill="1" applyBorder="1" applyAlignment="1">
      <alignment horizontal="center"/>
    </xf>
    <xf numFmtId="44" fontId="0" fillId="0" borderId="13" xfId="0" applyNumberFormat="1" applyBorder="1"/>
    <xf numFmtId="44" fontId="0" fillId="0" borderId="16" xfId="0" applyNumberFormat="1" applyBorder="1"/>
    <xf numFmtId="9" fontId="0" fillId="0" borderId="15" xfId="0" applyNumberFormat="1" applyBorder="1"/>
    <xf numFmtId="9" fontId="0" fillId="0" borderId="16" xfId="0" applyNumberFormat="1" applyBorder="1"/>
    <xf numFmtId="0" fontId="0" fillId="0" borderId="0" xfId="0" applyAlignment="1">
      <alignment wrapText="1"/>
    </xf>
    <xf numFmtId="0" fontId="0" fillId="0" borderId="12" xfId="0" applyBorder="1"/>
    <xf numFmtId="14" fontId="0" fillId="0" borderId="0" xfId="0" applyNumberFormat="1" applyBorder="1"/>
    <xf numFmtId="0" fontId="0" fillId="0" borderId="14" xfId="0" applyBorder="1"/>
    <xf numFmtId="0" fontId="0" fillId="0" borderId="15" xfId="0" applyBorder="1"/>
    <xf numFmtId="14" fontId="0" fillId="0" borderId="15" xfId="0" applyNumberFormat="1" applyBorder="1"/>
    <xf numFmtId="0" fontId="1" fillId="0" borderId="13" xfId="0" applyFont="1" applyBorder="1" applyAlignment="1">
      <alignment horizontal="center"/>
    </xf>
    <xf numFmtId="0" fontId="4" fillId="17" borderId="19" xfId="0" applyFont="1" applyFill="1" applyBorder="1" applyAlignment="1">
      <alignment horizontal="center" vertical="center" wrapText="1"/>
    </xf>
    <xf numFmtId="0" fontId="4" fillId="17" borderId="20" xfId="0" applyFont="1" applyFill="1" applyBorder="1" applyAlignment="1">
      <alignment horizontal="center" vertical="center" wrapText="1"/>
    </xf>
    <xf numFmtId="0" fontId="4" fillId="17" borderId="21" xfId="0" applyFont="1" applyFill="1" applyBorder="1" applyAlignment="1">
      <alignment horizontal="center" vertical="center" wrapText="1"/>
    </xf>
    <xf numFmtId="0" fontId="4" fillId="17" borderId="11" xfId="0" applyFont="1" applyFill="1" applyBorder="1" applyAlignment="1">
      <alignment horizontal="center"/>
    </xf>
    <xf numFmtId="0" fontId="4" fillId="17" borderId="22" xfId="0" applyFont="1" applyFill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4" fillId="17" borderId="24" xfId="0" applyFont="1" applyFill="1" applyBorder="1" applyAlignment="1">
      <alignment horizontal="center"/>
    </xf>
    <xf numFmtId="0" fontId="0" fillId="17" borderId="19" xfId="0" applyNumberFormat="1" applyFill="1" applyBorder="1"/>
    <xf numFmtId="0" fontId="0" fillId="17" borderId="20" xfId="0" applyFill="1" applyBorder="1"/>
    <xf numFmtId="0" fontId="0" fillId="17" borderId="20" xfId="0" applyNumberFormat="1" applyFill="1" applyBorder="1"/>
    <xf numFmtId="0" fontId="0" fillId="17" borderId="21" xfId="0" applyNumberFormat="1" applyFill="1" applyBorder="1"/>
    <xf numFmtId="0" fontId="0" fillId="17" borderId="0" xfId="0" applyFill="1"/>
    <xf numFmtId="44" fontId="0" fillId="10" borderId="1" xfId="0" applyNumberFormat="1" applyFill="1" applyBorder="1" applyAlignment="1">
      <alignment horizontal="center"/>
    </xf>
    <xf numFmtId="44" fontId="0" fillId="10" borderId="1" xfId="0" applyNumberFormat="1" applyFill="1" applyBorder="1" applyAlignment="1">
      <alignment horizontal="right"/>
    </xf>
    <xf numFmtId="172" fontId="0" fillId="0" borderId="0" xfId="0" applyNumberFormat="1" applyAlignment="1">
      <alignment horizontal="center"/>
    </xf>
    <xf numFmtId="42" fontId="0" fillId="0" borderId="0" xfId="0" applyNumberFormat="1" applyBorder="1" applyAlignment="1">
      <alignment horizontal="center"/>
    </xf>
    <xf numFmtId="42" fontId="0" fillId="0" borderId="0" xfId="0" applyNumberFormat="1" applyBorder="1"/>
    <xf numFmtId="42" fontId="0" fillId="0" borderId="13" xfId="0" applyNumberFormat="1" applyBorder="1" applyAlignment="1">
      <alignment horizontal="center"/>
    </xf>
    <xf numFmtId="42" fontId="0" fillId="0" borderId="15" xfId="0" applyNumberFormat="1" applyBorder="1" applyAlignment="1">
      <alignment horizontal="center"/>
    </xf>
    <xf numFmtId="42" fontId="0" fillId="0" borderId="15" xfId="0" applyNumberFormat="1" applyBorder="1"/>
    <xf numFmtId="42" fontId="0" fillId="0" borderId="16" xfId="0" applyNumberForma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4" fontId="1" fillId="10" borderId="1" xfId="0" applyNumberFormat="1" applyFont="1" applyFill="1" applyBorder="1" applyAlignment="1"/>
    <xf numFmtId="0" fontId="1" fillId="8" borderId="1" xfId="0" applyFont="1" applyFill="1" applyBorder="1" applyAlignment="1">
      <alignment horizontal="center" wrapText="1"/>
    </xf>
    <xf numFmtId="173" fontId="0" fillId="0" borderId="15" xfId="0" applyNumberFormat="1" applyBorder="1" applyAlignment="1">
      <alignment horizontal="center"/>
    </xf>
    <xf numFmtId="44" fontId="0" fillId="0" borderId="0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171" fontId="1" fillId="0" borderId="16" xfId="0" applyNumberFormat="1" applyFont="1" applyBorder="1" applyAlignment="1">
      <alignment horizontal="center"/>
    </xf>
    <xf numFmtId="0" fontId="1" fillId="8" borderId="13" xfId="0" applyNumberFormat="1" applyFont="1" applyFill="1" applyBorder="1" applyAlignment="1">
      <alignment horizontal="center"/>
    </xf>
    <xf numFmtId="0" fontId="1" fillId="8" borderId="16" xfId="0" applyNumberFormat="1" applyFont="1" applyFill="1" applyBorder="1" applyAlignment="1">
      <alignment horizontal="center"/>
    </xf>
    <xf numFmtId="0" fontId="1" fillId="8" borderId="1" xfId="0" applyNumberFormat="1" applyFont="1" applyFill="1" applyBorder="1" applyAlignment="1">
      <alignment horizontal="center"/>
    </xf>
    <xf numFmtId="0" fontId="1" fillId="0" borderId="11" xfId="0" applyFont="1" applyFill="1" applyBorder="1"/>
    <xf numFmtId="171" fontId="1" fillId="0" borderId="5" xfId="0" applyNumberFormat="1" applyFont="1" applyBorder="1" applyAlignment="1">
      <alignment horizontal="center"/>
    </xf>
    <xf numFmtId="44" fontId="1" fillId="8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8" fillId="14" borderId="0" xfId="0" applyFont="1" applyFill="1" applyAlignment="1">
      <alignment horizontal="center"/>
    </xf>
    <xf numFmtId="0" fontId="9" fillId="0" borderId="0" xfId="0" applyFont="1"/>
    <xf numFmtId="0" fontId="10" fillId="12" borderId="0" xfId="0" applyFont="1" applyFill="1" applyAlignment="1">
      <alignment horizontal="center"/>
    </xf>
    <xf numFmtId="0" fontId="4" fillId="13" borderId="2" xfId="0" applyFont="1" applyFill="1" applyBorder="1" applyAlignment="1">
      <alignment horizontal="center"/>
    </xf>
    <xf numFmtId="0" fontId="4" fillId="13" borderId="17" xfId="0" applyFont="1" applyFill="1" applyBorder="1" applyAlignment="1">
      <alignment horizontal="center"/>
    </xf>
    <xf numFmtId="0" fontId="4" fillId="13" borderId="3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11" fillId="11" borderId="1" xfId="0" applyFont="1" applyFill="1" applyBorder="1" applyAlignment="1">
      <alignment horizontal="center"/>
    </xf>
    <xf numFmtId="0" fontId="4" fillId="17" borderId="9" xfId="0" applyFont="1" applyFill="1" applyBorder="1" applyAlignment="1">
      <alignment horizontal="left"/>
    </xf>
    <xf numFmtId="0" fontId="4" fillId="17" borderId="11" xfId="0" applyFont="1" applyFill="1" applyBorder="1" applyAlignment="1">
      <alignment horizontal="left"/>
    </xf>
    <xf numFmtId="0" fontId="4" fillId="17" borderId="12" xfId="0" applyFont="1" applyFill="1" applyBorder="1"/>
    <xf numFmtId="0" fontId="4" fillId="17" borderId="13" xfId="0" applyFont="1" applyFill="1" applyBorder="1"/>
    <xf numFmtId="0" fontId="4" fillId="17" borderId="14" xfId="0" applyFont="1" applyFill="1" applyBorder="1"/>
    <xf numFmtId="0" fontId="4" fillId="17" borderId="16" xfId="0" applyFont="1" applyFill="1" applyBorder="1"/>
    <xf numFmtId="0" fontId="12" fillId="17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175" fontId="0" fillId="8" borderId="0" xfId="0" applyNumberFormat="1" applyFill="1" applyBorder="1" applyAlignment="1">
      <alignment horizontal="center"/>
    </xf>
    <xf numFmtId="0" fontId="1" fillId="8" borderId="14" xfId="0" applyNumberFormat="1" applyFont="1" applyFill="1" applyBorder="1" applyAlignment="1">
      <alignment horizontal="center"/>
    </xf>
  </cellXfs>
  <cellStyles count="3">
    <cellStyle name="Euro" xfId="1"/>
    <cellStyle name="Moneda" xfId="2" builtinId="4"/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Cantidad vendida</a:t>
            </a:r>
            <a:r>
              <a:rPr lang="es-AR" baseline="0"/>
              <a:t> de cada producto</a:t>
            </a:r>
            <a:endParaRPr lang="es-AR"/>
          </a:p>
        </c:rich>
      </c:tx>
      <c:layout>
        <c:manualLayout>
          <c:xMode val="edge"/>
          <c:yMode val="edge"/>
          <c:x val="0.17172565155390324"/>
          <c:y val="0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243625811986334"/>
          <c:y val="0.11361773460592235"/>
          <c:w val="0.74395739058590482"/>
          <c:h val="0.75414329854566475"/>
        </c:manualLayout>
      </c:layout>
      <c:bar3DChart>
        <c:barDir val="bar"/>
        <c:grouping val="stacked"/>
        <c:varyColors val="0"/>
        <c:ser>
          <c:idx val="0"/>
          <c:order val="0"/>
          <c:tx>
            <c:v>Cantidad</c:v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scene3d>
              <a:camera prst="orthographicFront"/>
              <a:lightRig rig="threePt" dir="t"/>
            </a:scene3d>
            <a:sp3d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0.19118559900682805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6567349472377405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03910614525143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2458100558659218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173184357541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3774053382991930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21601489757914344"/>
                  <c:y val="-4.04653450961099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'Ejercicio 1'!$C$10:$C$16</c:f>
              <c:strCache>
                <c:ptCount val="7"/>
                <c:pt idx="0">
                  <c:v>Jabón "Shock"</c:v>
                </c:pt>
                <c:pt idx="1">
                  <c:v>Lomo</c:v>
                </c:pt>
                <c:pt idx="2">
                  <c:v>Sopa "Nor Suecia"</c:v>
                </c:pt>
                <c:pt idx="3">
                  <c:v>Colonia "Y2K"</c:v>
                </c:pt>
                <c:pt idx="4">
                  <c:v>Jugo "Hugo"</c:v>
                </c:pt>
                <c:pt idx="5">
                  <c:v>Atún "Tuna"</c:v>
                </c:pt>
                <c:pt idx="6">
                  <c:v>Yerba "Yuyito"</c:v>
                </c:pt>
              </c:strCache>
            </c:strRef>
          </c:cat>
          <c:val>
            <c:numRef>
              <c:f>'Ejercicio 1'!$D$10:$D$16</c:f>
              <c:numCache>
                <c:formatCode>General</c:formatCode>
                <c:ptCount val="7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2</c:v>
                </c:pt>
                <c:pt idx="5">
                  <c:v>8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910592"/>
        <c:axId val="100912128"/>
        <c:axId val="0"/>
      </c:bar3DChart>
      <c:catAx>
        <c:axId val="10091059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0912128"/>
        <c:crosses val="autoZero"/>
        <c:auto val="1"/>
        <c:lblAlgn val="ctr"/>
        <c:lblOffset val="100"/>
        <c:noMultiLvlLbl val="0"/>
      </c:catAx>
      <c:valAx>
        <c:axId val="1009121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0910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del IVA en el total</a:t>
            </a:r>
          </a:p>
        </c:rich>
      </c:tx>
      <c:layout/>
      <c:overlay val="0"/>
    </c:title>
    <c:autoTitleDeleted val="0"/>
    <c:view3D>
      <c:rotX val="30"/>
      <c:rotY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5073071773620347E-2"/>
          <c:y val="0.19423099213049719"/>
          <c:w val="0.954532218164163"/>
          <c:h val="0.7153122435393017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  <a:scene3d>
                <a:camera prst="orthographicFront"/>
                <a:lightRig rig="threePt" dir="t"/>
              </a:scene3d>
              <a:sp3d prstMaterial="metal"/>
            </c:spPr>
          </c:dPt>
          <c:dPt>
            <c:idx val="1"/>
            <c:bubble3D val="0"/>
            <c:spPr>
              <a:solidFill>
                <a:srgbClr val="7030A0"/>
              </a:solidFill>
              <a:scene3d>
                <a:camera prst="orthographicFront"/>
                <a:lightRig rig="threePt" dir="t"/>
              </a:scene3d>
              <a:sp3d prstMaterial="metal"/>
            </c:spPr>
          </c:dPt>
          <c:dLbls>
            <c:dLbl>
              <c:idx val="0"/>
              <c:layout>
                <c:manualLayout>
                  <c:x val="9.0224231666577968E-3"/>
                  <c:y val="0.1048872927127739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es-A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1.9964540228477195E-2"/>
                  <c:y val="-3.2395081546129294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ysClr val="windowText" lastClr="000000"/>
                      </a:solidFill>
                    </a:defRPr>
                  </a:pPr>
                  <a:endParaRPr lang="es-A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sz="1100"/>
                </a:pPr>
                <a:endParaRPr lang="es-AR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val>
            <c:numRef>
              <c:f>'Ejercicio 1'!$H$17:$I$17</c:f>
              <c:numCache>
                <c:formatCode>_("$"* #,##0.00_);_("$"* \(#,##0.00\);_("$"* "-"??_);_(@_)</c:formatCode>
                <c:ptCount val="2"/>
                <c:pt idx="0">
                  <c:v>795.68000000000006</c:v>
                </c:pt>
                <c:pt idx="1">
                  <c:v>167.09279999999998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t"/>
      <c:layout/>
      <c:overlay val="0"/>
      <c:txPr>
        <a:bodyPr/>
        <a:lstStyle/>
        <a:p>
          <a:pPr rtl="0">
            <a:defRPr/>
          </a:pPr>
          <a:endParaRPr lang="es-AR"/>
        </a:p>
      </c:txPr>
    </c:legend>
    <c:plotVisOnly val="1"/>
    <c:dispBlanksAs val="zero"/>
    <c:showDLblsOverMax val="0"/>
  </c:chart>
  <c:spPr>
    <a:blipFill>
      <a:blip xmlns:r="http://schemas.openxmlformats.org/officeDocument/2006/relationships" r:embed="rId2"/>
      <a:tile tx="0" ty="0" sx="100000" sy="100000" flip="none" algn="tl"/>
    </a:blip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Recaudación</a:t>
            </a:r>
            <a:r>
              <a:rPr lang="en-US" baseline="0"/>
              <a:t> arancel según prioridad</a:t>
            </a:r>
            <a:endParaRPr lang="en-US"/>
          </a:p>
        </c:rich>
      </c:tx>
      <c:overlay val="0"/>
      <c:spPr>
        <a:solidFill>
          <a:srgbClr val="00B0F0"/>
        </a:solidFill>
      </c:spPr>
    </c:title>
    <c:autoTitleDeleted val="0"/>
    <c:plotArea>
      <c:layout/>
      <c:doughnutChart>
        <c:varyColors val="1"/>
        <c:ser>
          <c:idx val="3"/>
          <c:order val="0"/>
          <c:tx>
            <c:strRef>
              <c:f>'Ejercicio 2'!$I$40</c:f>
              <c:strCache>
                <c:ptCount val="1"/>
                <c:pt idx="0">
                  <c:v>Arancel</c:v>
                </c:pt>
              </c:strCache>
            </c:strRef>
          </c:tx>
          <c:cat>
            <c:strRef>
              <c:f>('Ejercicio 2'!$E$47,'Ejercicio 2'!$E$52,'Ejercicio 2'!$E$56)</c:f>
              <c:strCache>
                <c:ptCount val="3"/>
                <c:pt idx="0">
                  <c:v>Total alta</c:v>
                </c:pt>
                <c:pt idx="1">
                  <c:v>Total Baja</c:v>
                </c:pt>
                <c:pt idx="2">
                  <c:v>Total normal</c:v>
                </c:pt>
              </c:strCache>
            </c:strRef>
          </c:cat>
          <c:val>
            <c:numRef>
              <c:f>('Ejercicio 2'!$I$47,'Ejercicio 2'!$I$52,'Ejercicio 2'!$I$56)</c:f>
              <c:numCache>
                <c:formatCode>_("$"* #,##0_);_("$"* \(#,##0\);_("$"* "-"_);_(@_)</c:formatCode>
                <c:ptCount val="3"/>
                <c:pt idx="0">
                  <c:v>1236</c:v>
                </c:pt>
                <c:pt idx="1">
                  <c:v>450</c:v>
                </c:pt>
                <c:pt idx="2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2244510061242351"/>
          <c:y val="0.37552967337416171"/>
          <c:w val="0.19144378827646547"/>
          <c:h val="0.25115157480314959"/>
        </c:manualLayout>
      </c:layout>
      <c:overlay val="0"/>
    </c:legend>
    <c:plotVisOnly val="1"/>
    <c:dispBlanksAs val="zero"/>
    <c:showDLblsOverMax val="0"/>
  </c:chart>
  <c:spPr>
    <a:gradFill flip="none" rotWithShape="1"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8100000" scaled="0"/>
      <a:tileRect/>
    </a:gra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SUELDO CON ADICIONALES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20031321532378785"/>
          <c:y val="0.14411668690667398"/>
          <c:w val="0.52848986816129251"/>
          <c:h val="0.706602986102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'Ejercicio 6'!$F$8</c:f>
              <c:strCache>
                <c:ptCount val="1"/>
                <c:pt idx="0">
                  <c:v>Sueldo</c:v>
                </c:pt>
              </c:strCache>
            </c:strRef>
          </c:tx>
          <c:invertIfNegative val="0"/>
          <c:cat>
            <c:numRef>
              <c:f>'Ejercicio 6'!$A$9:$A$25</c:f>
              <c:numCache>
                <c:formatCode>General</c:formatCode>
                <c:ptCount val="17"/>
                <c:pt idx="0">
                  <c:v>2150</c:v>
                </c:pt>
                <c:pt idx="1">
                  <c:v>1400</c:v>
                </c:pt>
                <c:pt idx="2">
                  <c:v>1790</c:v>
                </c:pt>
                <c:pt idx="3">
                  <c:v>1450</c:v>
                </c:pt>
                <c:pt idx="4">
                  <c:v>1550</c:v>
                </c:pt>
                <c:pt idx="5">
                  <c:v>2030</c:v>
                </c:pt>
                <c:pt idx="6">
                  <c:v>1520</c:v>
                </c:pt>
                <c:pt idx="7">
                  <c:v>1730</c:v>
                </c:pt>
                <c:pt idx="8">
                  <c:v>1340</c:v>
                </c:pt>
                <c:pt idx="9">
                  <c:v>1850</c:v>
                </c:pt>
                <c:pt idx="10">
                  <c:v>2000</c:v>
                </c:pt>
                <c:pt idx="11">
                  <c:v>1820</c:v>
                </c:pt>
                <c:pt idx="12">
                  <c:v>1760</c:v>
                </c:pt>
                <c:pt idx="13">
                  <c:v>1880</c:v>
                </c:pt>
                <c:pt idx="14">
                  <c:v>1490</c:v>
                </c:pt>
                <c:pt idx="15">
                  <c:v>1370</c:v>
                </c:pt>
                <c:pt idx="16">
                  <c:v>2001</c:v>
                </c:pt>
              </c:numCache>
            </c:numRef>
          </c:cat>
          <c:val>
            <c:numRef>
              <c:f>'Ejercicio 6'!$F$9:$F$25</c:f>
              <c:numCache>
                <c:formatCode>_("$"* #,##0_);_("$"* \(#,##0\);_("$"* "-"_);_(@_)</c:formatCode>
                <c:ptCount val="17"/>
                <c:pt idx="0">
                  <c:v>21500</c:v>
                </c:pt>
                <c:pt idx="1">
                  <c:v>21100</c:v>
                </c:pt>
                <c:pt idx="2">
                  <c:v>15950</c:v>
                </c:pt>
                <c:pt idx="3">
                  <c:v>15950</c:v>
                </c:pt>
                <c:pt idx="4">
                  <c:v>21100</c:v>
                </c:pt>
                <c:pt idx="5">
                  <c:v>14780</c:v>
                </c:pt>
                <c:pt idx="6">
                  <c:v>18320</c:v>
                </c:pt>
                <c:pt idx="7">
                  <c:v>18500</c:v>
                </c:pt>
                <c:pt idx="8">
                  <c:v>42100</c:v>
                </c:pt>
                <c:pt idx="9">
                  <c:v>15950</c:v>
                </c:pt>
                <c:pt idx="10">
                  <c:v>21500</c:v>
                </c:pt>
                <c:pt idx="11">
                  <c:v>14780</c:v>
                </c:pt>
                <c:pt idx="12">
                  <c:v>21100</c:v>
                </c:pt>
                <c:pt idx="13">
                  <c:v>14780</c:v>
                </c:pt>
                <c:pt idx="14">
                  <c:v>15950</c:v>
                </c:pt>
                <c:pt idx="15">
                  <c:v>42100</c:v>
                </c:pt>
                <c:pt idx="16">
                  <c:v>21100</c:v>
                </c:pt>
              </c:numCache>
            </c:numRef>
          </c:val>
        </c:ser>
        <c:ser>
          <c:idx val="2"/>
          <c:order val="1"/>
          <c:tx>
            <c:strRef>
              <c:f>'Ejercicio 6'!$H$8</c:f>
              <c:strCache>
                <c:ptCount val="1"/>
                <c:pt idx="0">
                  <c:v>Adicional por antigüedad</c:v>
                </c:pt>
              </c:strCache>
            </c:strRef>
          </c:tx>
          <c:invertIfNegative val="0"/>
          <c:cat>
            <c:numRef>
              <c:f>'Ejercicio 6'!$A$9:$A$25</c:f>
              <c:numCache>
                <c:formatCode>General</c:formatCode>
                <c:ptCount val="17"/>
                <c:pt idx="0">
                  <c:v>2150</c:v>
                </c:pt>
                <c:pt idx="1">
                  <c:v>1400</c:v>
                </c:pt>
                <c:pt idx="2">
                  <c:v>1790</c:v>
                </c:pt>
                <c:pt idx="3">
                  <c:v>1450</c:v>
                </c:pt>
                <c:pt idx="4">
                  <c:v>1550</c:v>
                </c:pt>
                <c:pt idx="5">
                  <c:v>2030</c:v>
                </c:pt>
                <c:pt idx="6">
                  <c:v>1520</c:v>
                </c:pt>
                <c:pt idx="7">
                  <c:v>1730</c:v>
                </c:pt>
                <c:pt idx="8">
                  <c:v>1340</c:v>
                </c:pt>
                <c:pt idx="9">
                  <c:v>1850</c:v>
                </c:pt>
                <c:pt idx="10">
                  <c:v>2000</c:v>
                </c:pt>
                <c:pt idx="11">
                  <c:v>1820</c:v>
                </c:pt>
                <c:pt idx="12">
                  <c:v>1760</c:v>
                </c:pt>
                <c:pt idx="13">
                  <c:v>1880</c:v>
                </c:pt>
                <c:pt idx="14">
                  <c:v>1490</c:v>
                </c:pt>
                <c:pt idx="15">
                  <c:v>1370</c:v>
                </c:pt>
                <c:pt idx="16">
                  <c:v>2001</c:v>
                </c:pt>
              </c:numCache>
            </c:numRef>
          </c:cat>
          <c:val>
            <c:numRef>
              <c:f>'Ejercicio 6'!$H$9:$H$25</c:f>
              <c:numCache>
                <c:formatCode>_ "$"\ * #,##0.00_ ;_ "$"\ * \-#,##0.00_ ;_ "$"\ * "-"_ ;_ @_ </c:formatCode>
                <c:ptCount val="17"/>
                <c:pt idx="0">
                  <c:v>4300</c:v>
                </c:pt>
                <c:pt idx="1">
                  <c:v>4220</c:v>
                </c:pt>
                <c:pt idx="2">
                  <c:v>3190</c:v>
                </c:pt>
                <c:pt idx="3">
                  <c:v>3190</c:v>
                </c:pt>
                <c:pt idx="4">
                  <c:v>3165</c:v>
                </c:pt>
                <c:pt idx="5">
                  <c:v>2956</c:v>
                </c:pt>
                <c:pt idx="6">
                  <c:v>2748</c:v>
                </c:pt>
                <c:pt idx="7">
                  <c:v>3700</c:v>
                </c:pt>
                <c:pt idx="8">
                  <c:v>8420</c:v>
                </c:pt>
                <c:pt idx="9">
                  <c:v>3987.5</c:v>
                </c:pt>
                <c:pt idx="10">
                  <c:v>4300</c:v>
                </c:pt>
                <c:pt idx="11">
                  <c:v>2956</c:v>
                </c:pt>
                <c:pt idx="12">
                  <c:v>0</c:v>
                </c:pt>
                <c:pt idx="13">
                  <c:v>2956</c:v>
                </c:pt>
                <c:pt idx="14">
                  <c:v>0</c:v>
                </c:pt>
                <c:pt idx="15">
                  <c:v>8420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20416"/>
        <c:axId val="103026688"/>
      </c:barChart>
      <c:catAx>
        <c:axId val="1030204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Legajo</a:t>
                </a:r>
              </a:p>
            </c:rich>
          </c:tx>
          <c:layout>
            <c:manualLayout>
              <c:xMode val="edge"/>
              <c:yMode val="edge"/>
              <c:x val="0.41944312447228382"/>
              <c:y val="0.94517589807711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AR"/>
          </a:p>
        </c:txPr>
        <c:crossAx val="103026688"/>
        <c:crosses val="autoZero"/>
        <c:auto val="1"/>
        <c:lblAlgn val="ctr"/>
        <c:lblOffset val="100"/>
        <c:noMultiLvlLbl val="0"/>
      </c:catAx>
      <c:valAx>
        <c:axId val="1030266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103020416"/>
        <c:crosses val="autoZero"/>
        <c:crossBetween val="between"/>
      </c:valAx>
    </c:plotArea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</xdr:colOff>
      <xdr:row>0</xdr:row>
      <xdr:rowOff>138111</xdr:rowOff>
    </xdr:from>
    <xdr:to>
      <xdr:col>20</xdr:col>
      <xdr:colOff>257175</xdr:colOff>
      <xdr:row>21</xdr:row>
      <xdr:rowOff>161924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9524</xdr:colOff>
      <xdr:row>25</xdr:row>
      <xdr:rowOff>19050</xdr:rowOff>
    </xdr:from>
    <xdr:to>
      <xdr:col>20</xdr:col>
      <xdr:colOff>247650</xdr:colOff>
      <xdr:row>46</xdr:row>
      <xdr:rowOff>109538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59</xdr:row>
      <xdr:rowOff>142875</xdr:rowOff>
    </xdr:from>
    <xdr:to>
      <xdr:col>6</xdr:col>
      <xdr:colOff>133350</xdr:colOff>
      <xdr:row>76</xdr:row>
      <xdr:rowOff>133350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217884</xdr:rowOff>
    </xdr:from>
    <xdr:to>
      <xdr:col>0</xdr:col>
      <xdr:colOff>638175</xdr:colOff>
      <xdr:row>2</xdr:row>
      <xdr:rowOff>108108</xdr:rowOff>
    </xdr:to>
    <xdr:pic>
      <xdr:nvPicPr>
        <xdr:cNvPr id="3" name="2 Imagen" descr="C:\Users\maocen_mecon\AppData\Local\Microsoft\Windows\Temporary Internet Files\Content.IE5\RL3AGI1K\computer-24881_64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475059"/>
          <a:ext cx="400049" cy="395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0</xdr:row>
      <xdr:rowOff>85725</xdr:rowOff>
    </xdr:from>
    <xdr:to>
      <xdr:col>2</xdr:col>
      <xdr:colOff>161925</xdr:colOff>
      <xdr:row>0</xdr:row>
      <xdr:rowOff>600075</xdr:rowOff>
    </xdr:to>
    <xdr:pic>
      <xdr:nvPicPr>
        <xdr:cNvPr id="3" name="2 Imagen" descr="C:\Users\maocen_mecon\AppData\Local\Microsoft\Windows\Temporary Internet Files\Content.IE5\RL3AGI1K\50px-Avion_silhouette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85725"/>
          <a:ext cx="4762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45</xdr:row>
      <xdr:rowOff>38099</xdr:rowOff>
    </xdr:from>
    <xdr:to>
      <xdr:col>8</xdr:col>
      <xdr:colOff>485775</xdr:colOff>
      <xdr:row>70</xdr:row>
      <xdr:rowOff>95249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2:J1000"/>
  <sheetViews>
    <sheetView tabSelected="1" topLeftCell="B4" workbookViewId="0">
      <selection activeCell="E10" sqref="E10"/>
    </sheetView>
  </sheetViews>
  <sheetFormatPr baseColWidth="10" defaultColWidth="9.140625" defaultRowHeight="12.75" x14ac:dyDescent="0.2"/>
  <cols>
    <col min="1" max="1" width="10.140625" bestFit="1" customWidth="1"/>
    <col min="2" max="2" width="19.5703125" bestFit="1" customWidth="1"/>
    <col min="3" max="3" width="16.5703125" bestFit="1" customWidth="1"/>
    <col min="4" max="4" width="14.42578125" bestFit="1" customWidth="1"/>
    <col min="5" max="5" width="15.85546875" customWidth="1"/>
    <col min="6" max="6" width="12.5703125" customWidth="1"/>
    <col min="7" max="7" width="10.85546875" bestFit="1" customWidth="1"/>
    <col min="10" max="10" width="12.28515625" bestFit="1" customWidth="1"/>
  </cols>
  <sheetData>
    <row r="2" spans="1:10" ht="24.75" x14ac:dyDescent="0.4">
      <c r="A2" s="142" t="s">
        <v>156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x14ac:dyDescent="0.2">
      <c r="C3" s="1"/>
    </row>
    <row r="4" spans="1:10" x14ac:dyDescent="0.2">
      <c r="A4" t="s">
        <v>0</v>
      </c>
      <c r="B4" s="24">
        <f ca="1">TODAY()</f>
        <v>42308</v>
      </c>
      <c r="D4" t="s">
        <v>1</v>
      </c>
      <c r="F4" t="s">
        <v>148</v>
      </c>
    </row>
    <row r="5" spans="1:10" x14ac:dyDescent="0.2">
      <c r="A5" t="s">
        <v>147</v>
      </c>
      <c r="B5" s="25">
        <f ca="1">NOW()</f>
        <v>42308.74213564815</v>
      </c>
      <c r="D5" t="s">
        <v>2</v>
      </c>
      <c r="F5" t="s">
        <v>149</v>
      </c>
    </row>
    <row r="6" spans="1:10" ht="25.5" x14ac:dyDescent="0.2">
      <c r="D6" s="26" t="s">
        <v>220</v>
      </c>
      <c r="F6" s="13" t="s">
        <v>38</v>
      </c>
      <c r="H6" s="143" t="s">
        <v>34</v>
      </c>
      <c r="I6" s="143"/>
      <c r="J6" s="5">
        <f>VLOOKUP(F6,F24:G26,2,FALSE)</f>
        <v>0.21</v>
      </c>
    </row>
    <row r="7" spans="1:10" x14ac:dyDescent="0.2">
      <c r="F7" s="14"/>
      <c r="G7" s="1"/>
    </row>
    <row r="8" spans="1:10" x14ac:dyDescent="0.2">
      <c r="A8" s="138" t="s">
        <v>14</v>
      </c>
      <c r="B8" s="138"/>
      <c r="C8" s="138"/>
      <c r="D8" s="33"/>
      <c r="E8" s="138" t="s">
        <v>7</v>
      </c>
      <c r="F8" s="138"/>
      <c r="G8" s="138"/>
      <c r="H8" s="138"/>
      <c r="I8" s="138"/>
      <c r="J8" s="138"/>
    </row>
    <row r="9" spans="1:10" x14ac:dyDescent="0.2">
      <c r="A9" s="28" t="s">
        <v>3</v>
      </c>
      <c r="B9" s="28" t="s">
        <v>4</v>
      </c>
      <c r="C9" s="28" t="s">
        <v>5</v>
      </c>
      <c r="D9" s="34" t="s">
        <v>6</v>
      </c>
      <c r="E9" s="28" t="s">
        <v>8</v>
      </c>
      <c r="F9" s="29" t="s">
        <v>9</v>
      </c>
      <c r="G9" s="29" t="s">
        <v>10</v>
      </c>
      <c r="H9" s="28" t="s">
        <v>11</v>
      </c>
      <c r="I9" s="28" t="s">
        <v>12</v>
      </c>
      <c r="J9" s="28" t="s">
        <v>13</v>
      </c>
    </row>
    <row r="10" spans="1:10" x14ac:dyDescent="0.2">
      <c r="A10" s="8">
        <v>1330</v>
      </c>
      <c r="B10" s="23" t="str">
        <f>VLOOKUP(A$9:A17,A$23:$D$37,2,FALSE)</f>
        <v>Limpieza</v>
      </c>
      <c r="C10" s="23" t="str">
        <f>VLOOKUP($A10,$A$23:$D$37,3,FALSE)</f>
        <v>Jabón "Shock"</v>
      </c>
      <c r="D10" s="8">
        <v>3</v>
      </c>
      <c r="E10" s="30">
        <f>VLOOKUP($A10,$A$23:$D$37,4,FALSE)</f>
        <v>5.4</v>
      </c>
      <c r="F10" s="30" t="str">
        <f>IF(D10&gt;4,(E10*10%),"-")</f>
        <v>-</v>
      </c>
      <c r="G10" s="30">
        <f>IF(D10&gt;4,E10-(E10*10%),E10)</f>
        <v>5.4</v>
      </c>
      <c r="H10" s="30">
        <f>PRODUCT(D10,G10)</f>
        <v>16.200000000000003</v>
      </c>
      <c r="I10" s="30">
        <f>H10*$J$6</f>
        <v>3.4020000000000006</v>
      </c>
      <c r="J10" s="30">
        <f>SUM(H10,I10)</f>
        <v>19.602000000000004</v>
      </c>
    </row>
    <row r="11" spans="1:10" x14ac:dyDescent="0.2">
      <c r="A11" s="8">
        <v>1370</v>
      </c>
      <c r="B11" s="23" t="str">
        <f>VLOOKUP(A$9:A18,A$23:$D$37,2,FALSE)</f>
        <v>Carnicería</v>
      </c>
      <c r="C11" s="23" t="str">
        <f t="shared" ref="C11:C16" si="0">VLOOKUP($A11,$A$23:$D$37,3,FALSE)</f>
        <v>Lomo</v>
      </c>
      <c r="D11" s="8">
        <v>5</v>
      </c>
      <c r="E11" s="30">
        <f t="shared" ref="E11:E16" si="1">VLOOKUP($A11,$A$23:$D$37,4,FALSE)</f>
        <v>75.400000000000006</v>
      </c>
      <c r="F11" s="30">
        <f t="shared" ref="F11:F16" si="2">IF(D11&gt;4,(E11*10%),"-")</f>
        <v>7.5400000000000009</v>
      </c>
      <c r="G11" s="30">
        <f t="shared" ref="G11:G16" si="3">IF(D11&gt;4,E11-(E11*10%),E11)</f>
        <v>67.86</v>
      </c>
      <c r="H11" s="30">
        <f t="shared" ref="H11:H16" si="4">PRODUCT(D11,G11)</f>
        <v>339.3</v>
      </c>
      <c r="I11" s="30">
        <f t="shared" ref="I11:I16" si="5">H11*$J$6</f>
        <v>71.253</v>
      </c>
      <c r="J11" s="30">
        <f t="shared" ref="J11:J16" si="6">SUM(H11,I11)</f>
        <v>410.553</v>
      </c>
    </row>
    <row r="12" spans="1:10" x14ac:dyDescent="0.2">
      <c r="A12" s="8">
        <v>1390</v>
      </c>
      <c r="B12" s="23" t="str">
        <f>VLOOKUP(A$9:A19,A$23:$D$37,2,FALSE)</f>
        <v>Almacén</v>
      </c>
      <c r="C12" s="23" t="str">
        <f t="shared" si="0"/>
        <v>Sopa "Nor Suecia"</v>
      </c>
      <c r="D12" s="8">
        <v>1</v>
      </c>
      <c r="E12" s="30">
        <f t="shared" si="1"/>
        <v>14.7</v>
      </c>
      <c r="F12" s="30" t="str">
        <f t="shared" si="2"/>
        <v>-</v>
      </c>
      <c r="G12" s="30">
        <f t="shared" si="3"/>
        <v>14.7</v>
      </c>
      <c r="H12" s="30">
        <f t="shared" si="4"/>
        <v>14.7</v>
      </c>
      <c r="I12" s="30">
        <f t="shared" si="5"/>
        <v>3.0869999999999997</v>
      </c>
      <c r="J12" s="30">
        <f t="shared" si="6"/>
        <v>17.786999999999999</v>
      </c>
    </row>
    <row r="13" spans="1:10" x14ac:dyDescent="0.2">
      <c r="A13" s="8">
        <v>1320</v>
      </c>
      <c r="B13" s="23" t="str">
        <f>VLOOKUP(A$9:A20,A$23:$D$37,2,FALSE)</f>
        <v>Perfumería</v>
      </c>
      <c r="C13" s="23" t="str">
        <f t="shared" si="0"/>
        <v>Colonia "Y2K"</v>
      </c>
      <c r="D13" s="10">
        <v>5</v>
      </c>
      <c r="E13" s="30">
        <f t="shared" si="1"/>
        <v>46</v>
      </c>
      <c r="F13" s="30">
        <f t="shared" si="2"/>
        <v>4.6000000000000005</v>
      </c>
      <c r="G13" s="30">
        <f t="shared" si="3"/>
        <v>41.4</v>
      </c>
      <c r="H13" s="30">
        <f t="shared" si="4"/>
        <v>207</v>
      </c>
      <c r="I13" s="30">
        <f t="shared" si="5"/>
        <v>43.47</v>
      </c>
      <c r="J13" s="30">
        <f t="shared" si="6"/>
        <v>250.47</v>
      </c>
    </row>
    <row r="14" spans="1:10" x14ac:dyDescent="0.2">
      <c r="A14" s="8">
        <v>1360</v>
      </c>
      <c r="B14" s="23" t="str">
        <f>VLOOKUP(A$9:A21,A$23:$D$37,2,FALSE)</f>
        <v>Bebidas</v>
      </c>
      <c r="C14" s="23" t="str">
        <f t="shared" si="0"/>
        <v>Jugo "Hugo"</v>
      </c>
      <c r="D14" s="8">
        <v>2</v>
      </c>
      <c r="E14" s="30">
        <f t="shared" si="1"/>
        <v>2.8</v>
      </c>
      <c r="F14" s="30" t="str">
        <f t="shared" si="2"/>
        <v>-</v>
      </c>
      <c r="G14" s="30">
        <f t="shared" si="3"/>
        <v>2.8</v>
      </c>
      <c r="H14" s="30">
        <f t="shared" si="4"/>
        <v>5.6</v>
      </c>
      <c r="I14" s="30">
        <f t="shared" si="5"/>
        <v>1.1759999999999999</v>
      </c>
      <c r="J14" s="30">
        <f t="shared" si="6"/>
        <v>6.7759999999999998</v>
      </c>
    </row>
    <row r="15" spans="1:10" x14ac:dyDescent="0.2">
      <c r="A15" s="8">
        <v>1340</v>
      </c>
      <c r="B15" s="23" t="str">
        <f>VLOOKUP(A$9:A22,A$23:$D$37,2,FALSE)</f>
        <v>Almacén</v>
      </c>
      <c r="C15" s="23" t="str">
        <f t="shared" si="0"/>
        <v>Atún "Tuna"</v>
      </c>
      <c r="D15" s="8">
        <v>8</v>
      </c>
      <c r="E15" s="30">
        <f t="shared" si="1"/>
        <v>15.4</v>
      </c>
      <c r="F15" s="30">
        <f t="shared" si="2"/>
        <v>1.54</v>
      </c>
      <c r="G15" s="30">
        <f t="shared" si="3"/>
        <v>13.86</v>
      </c>
      <c r="H15" s="30">
        <f t="shared" si="4"/>
        <v>110.88</v>
      </c>
      <c r="I15" s="30">
        <f t="shared" si="5"/>
        <v>23.284799999999997</v>
      </c>
      <c r="J15" s="30">
        <f t="shared" si="6"/>
        <v>134.16479999999999</v>
      </c>
    </row>
    <row r="16" spans="1:10" x14ac:dyDescent="0.2">
      <c r="A16" s="8">
        <v>1300</v>
      </c>
      <c r="B16" s="23" t="str">
        <f>VLOOKUP(A$9:A23,A$23:$D$37,2,FALSE)</f>
        <v>Almacén</v>
      </c>
      <c r="C16" s="23" t="str">
        <f t="shared" si="0"/>
        <v>Yerba "Yuyito"</v>
      </c>
      <c r="D16" s="8">
        <v>4</v>
      </c>
      <c r="E16" s="30">
        <f t="shared" si="1"/>
        <v>25.5</v>
      </c>
      <c r="F16" s="30" t="str">
        <f t="shared" si="2"/>
        <v>-</v>
      </c>
      <c r="G16" s="30">
        <f t="shared" si="3"/>
        <v>25.5</v>
      </c>
      <c r="H16" s="30">
        <f t="shared" si="4"/>
        <v>102</v>
      </c>
      <c r="I16" s="30">
        <f t="shared" si="5"/>
        <v>21.419999999999998</v>
      </c>
      <c r="J16" s="30">
        <f t="shared" si="6"/>
        <v>123.42</v>
      </c>
    </row>
    <row r="17" spans="1:10" x14ac:dyDescent="0.2">
      <c r="A17" s="8"/>
      <c r="B17" s="23"/>
      <c r="C17" s="23"/>
      <c r="D17" s="8"/>
      <c r="E17" s="8"/>
      <c r="F17" s="139" t="s">
        <v>162</v>
      </c>
      <c r="G17" s="140"/>
      <c r="H17" s="30">
        <f>SUM(H10:H16)</f>
        <v>795.68000000000006</v>
      </c>
      <c r="I17" s="30">
        <f>SUM(I10:I16)</f>
        <v>167.09279999999998</v>
      </c>
      <c r="J17" s="30">
        <f>SUM(J10:J16)</f>
        <v>962.77279999999985</v>
      </c>
    </row>
    <row r="18" spans="1:10" ht="13.5" thickBot="1" x14ac:dyDescent="0.25">
      <c r="F18" s="1"/>
    </row>
    <row r="19" spans="1:10" ht="13.5" thickBot="1" x14ac:dyDescent="0.25">
      <c r="A19" t="s">
        <v>15</v>
      </c>
      <c r="D19" s="32">
        <f>INT(J17/7)</f>
        <v>137</v>
      </c>
      <c r="E19" t="s">
        <v>150</v>
      </c>
      <c r="F19" s="1"/>
    </row>
    <row r="20" spans="1:10" x14ac:dyDescent="0.2">
      <c r="A20" t="s">
        <v>16</v>
      </c>
      <c r="F20" s="1"/>
    </row>
    <row r="22" spans="1:10" x14ac:dyDescent="0.2">
      <c r="A22" s="141" t="s">
        <v>17</v>
      </c>
      <c r="B22" s="141"/>
      <c r="C22" s="141"/>
      <c r="D22" s="141"/>
      <c r="F22" s="144" t="s">
        <v>37</v>
      </c>
      <c r="G22" s="144"/>
    </row>
    <row r="23" spans="1:10" ht="21.75" customHeight="1" x14ac:dyDescent="0.2">
      <c r="A23" s="27" t="s">
        <v>3</v>
      </c>
      <c r="B23" s="27" t="s">
        <v>4</v>
      </c>
      <c r="C23" s="27" t="s">
        <v>5</v>
      </c>
      <c r="D23" s="27" t="s">
        <v>18</v>
      </c>
      <c r="F23" s="27" t="s">
        <v>35</v>
      </c>
      <c r="G23" s="27" t="s">
        <v>36</v>
      </c>
    </row>
    <row r="24" spans="1:10" x14ac:dyDescent="0.2">
      <c r="A24" s="8">
        <v>1300</v>
      </c>
      <c r="B24" s="8" t="s">
        <v>19</v>
      </c>
      <c r="C24" s="8" t="s">
        <v>24</v>
      </c>
      <c r="D24" s="31">
        <v>25.5</v>
      </c>
      <c r="F24" s="8" t="s">
        <v>40</v>
      </c>
      <c r="G24" s="9">
        <v>0</v>
      </c>
    </row>
    <row r="25" spans="1:10" x14ac:dyDescent="0.2">
      <c r="A25" s="8">
        <v>1310</v>
      </c>
      <c r="B25" s="8" t="s">
        <v>19</v>
      </c>
      <c r="C25" s="8" t="s">
        <v>25</v>
      </c>
      <c r="D25" s="31">
        <v>9.8000000000000007</v>
      </c>
      <c r="F25" s="8" t="s">
        <v>39</v>
      </c>
      <c r="G25" s="9">
        <v>0.315</v>
      </c>
    </row>
    <row r="26" spans="1:10" x14ac:dyDescent="0.2">
      <c r="A26" s="8">
        <v>1320</v>
      </c>
      <c r="B26" s="8" t="s">
        <v>20</v>
      </c>
      <c r="C26" s="8" t="s">
        <v>26</v>
      </c>
      <c r="D26" s="31">
        <v>46</v>
      </c>
      <c r="F26" s="8" t="s">
        <v>38</v>
      </c>
      <c r="G26" s="9">
        <v>0.21</v>
      </c>
    </row>
    <row r="27" spans="1:10" x14ac:dyDescent="0.2">
      <c r="A27" s="8">
        <v>1330</v>
      </c>
      <c r="B27" s="8" t="s">
        <v>21</v>
      </c>
      <c r="C27" s="8" t="s">
        <v>27</v>
      </c>
      <c r="D27" s="31">
        <v>5.4</v>
      </c>
    </row>
    <row r="28" spans="1:10" x14ac:dyDescent="0.2">
      <c r="A28" s="8">
        <v>1340</v>
      </c>
      <c r="B28" s="8" t="s">
        <v>19</v>
      </c>
      <c r="C28" s="8" t="s">
        <v>155</v>
      </c>
      <c r="D28" s="31">
        <v>15.4</v>
      </c>
    </row>
    <row r="29" spans="1:10" x14ac:dyDescent="0.2">
      <c r="A29" s="8">
        <v>1350</v>
      </c>
      <c r="B29" s="8" t="s">
        <v>22</v>
      </c>
      <c r="C29" s="8" t="s">
        <v>28</v>
      </c>
      <c r="D29" s="31">
        <v>12.8</v>
      </c>
    </row>
    <row r="30" spans="1:10" x14ac:dyDescent="0.2">
      <c r="A30" s="8">
        <v>1360</v>
      </c>
      <c r="B30" s="8" t="s">
        <v>22</v>
      </c>
      <c r="C30" s="8" t="s">
        <v>29</v>
      </c>
      <c r="D30" s="31">
        <v>2.8</v>
      </c>
    </row>
    <row r="31" spans="1:10" x14ac:dyDescent="0.2">
      <c r="A31" s="8">
        <v>1370</v>
      </c>
      <c r="B31" s="8" t="s">
        <v>23</v>
      </c>
      <c r="C31" s="8" t="s">
        <v>30</v>
      </c>
      <c r="D31" s="31">
        <v>75.400000000000006</v>
      </c>
    </row>
    <row r="32" spans="1:10" x14ac:dyDescent="0.2">
      <c r="A32" s="8">
        <v>1380</v>
      </c>
      <c r="B32" s="8" t="s">
        <v>20</v>
      </c>
      <c r="C32" s="8" t="s">
        <v>31</v>
      </c>
      <c r="D32" s="31">
        <v>12.6</v>
      </c>
    </row>
    <row r="33" spans="1:4" x14ac:dyDescent="0.2">
      <c r="A33" s="8">
        <v>1390</v>
      </c>
      <c r="B33" s="8" t="s">
        <v>19</v>
      </c>
      <c r="C33" s="8" t="s">
        <v>32</v>
      </c>
      <c r="D33" s="31">
        <v>14.7</v>
      </c>
    </row>
    <row r="34" spans="1:4" x14ac:dyDescent="0.2">
      <c r="A34" s="8">
        <v>1400</v>
      </c>
      <c r="B34" s="8" t="s">
        <v>23</v>
      </c>
      <c r="C34" s="8" t="s">
        <v>33</v>
      </c>
      <c r="D34" s="31">
        <v>60.4</v>
      </c>
    </row>
    <row r="35" spans="1:4" x14ac:dyDescent="0.2">
      <c r="A35" s="8">
        <v>1425</v>
      </c>
      <c r="B35" s="8" t="s">
        <v>151</v>
      </c>
      <c r="C35" s="8" t="s">
        <v>152</v>
      </c>
      <c r="D35" s="31">
        <v>125</v>
      </c>
    </row>
    <row r="36" spans="1:4" x14ac:dyDescent="0.2">
      <c r="A36" s="8">
        <v>1450</v>
      </c>
      <c r="B36" s="8" t="s">
        <v>151</v>
      </c>
      <c r="C36" s="8" t="s">
        <v>153</v>
      </c>
      <c r="D36" s="31">
        <v>75.5</v>
      </c>
    </row>
    <row r="37" spans="1:4" x14ac:dyDescent="0.2">
      <c r="A37" s="8">
        <v>1495</v>
      </c>
      <c r="B37" s="8" t="s">
        <v>22</v>
      </c>
      <c r="C37" s="8" t="s">
        <v>154</v>
      </c>
      <c r="D37" s="31">
        <v>14.3</v>
      </c>
    </row>
    <row r="100" spans="1:1" x14ac:dyDescent="0.2">
      <c r="A100" s="22">
        <v>41730</v>
      </c>
    </row>
    <row r="1000" spans="1:1" x14ac:dyDescent="0.2">
      <c r="A1000" t="s">
        <v>145</v>
      </c>
    </row>
  </sheetData>
  <dataConsolidate/>
  <mergeCells count="7">
    <mergeCell ref="A8:C8"/>
    <mergeCell ref="E8:J8"/>
    <mergeCell ref="F17:G17"/>
    <mergeCell ref="A22:D22"/>
    <mergeCell ref="A2:J2"/>
    <mergeCell ref="H6:I6"/>
    <mergeCell ref="F22:G22"/>
  </mergeCells>
  <phoneticPr fontId="0" type="noConversion"/>
  <dataValidations count="1">
    <dataValidation type="list" allowBlank="1" showInputMessage="1" showErrorMessage="1" error="NO ES RESPONSABLE INSCRIPTO" prompt="elija una de las opciones de la lista" sqref="F6">
      <formula1>$F$24:$F$26</formula1>
    </dataValidation>
  </dataValidations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2:N995"/>
  <sheetViews>
    <sheetView workbookViewId="0">
      <selection activeCell="A28" sqref="A28"/>
    </sheetView>
  </sheetViews>
  <sheetFormatPr baseColWidth="10" defaultRowHeight="12.75" outlineLevelRow="2" x14ac:dyDescent="0.2"/>
  <cols>
    <col min="2" max="2" width="14.140625" bestFit="1" customWidth="1"/>
    <col min="3" max="3" width="12.5703125" bestFit="1" customWidth="1"/>
    <col min="4" max="4" width="13.140625" bestFit="1" customWidth="1"/>
    <col min="5" max="5" width="12.28515625" bestFit="1" customWidth="1"/>
    <col min="8" max="8" width="12.5703125" bestFit="1" customWidth="1"/>
    <col min="12" max="12" width="15.28515625" customWidth="1"/>
  </cols>
  <sheetData>
    <row r="2" spans="1:11" ht="18.75" x14ac:dyDescent="0.3">
      <c r="A2" s="145" t="s">
        <v>189</v>
      </c>
      <c r="B2" s="145"/>
      <c r="C2" s="145"/>
      <c r="D2" s="145"/>
      <c r="E2" s="145"/>
      <c r="F2" s="145"/>
      <c r="G2" s="145"/>
      <c r="H2" s="145"/>
      <c r="I2" s="145"/>
    </row>
    <row r="4" spans="1:11" ht="25.5" x14ac:dyDescent="0.2">
      <c r="A4" s="40" t="s">
        <v>221</v>
      </c>
      <c r="B4" s="41" t="s">
        <v>190</v>
      </c>
      <c r="C4" s="41" t="s">
        <v>191</v>
      </c>
      <c r="D4" s="40" t="s">
        <v>222</v>
      </c>
      <c r="E4" s="41" t="s">
        <v>192</v>
      </c>
      <c r="F4" s="40" t="s">
        <v>223</v>
      </c>
      <c r="G4" s="41" t="s">
        <v>193</v>
      </c>
      <c r="H4" s="40" t="s">
        <v>224</v>
      </c>
      <c r="I4" s="41" t="s">
        <v>194</v>
      </c>
      <c r="K4" s="48" t="s">
        <v>223</v>
      </c>
    </row>
    <row r="5" spans="1:11" x14ac:dyDescent="0.2">
      <c r="A5" s="8">
        <v>112</v>
      </c>
      <c r="B5" s="35" t="str">
        <f>VLOOKUP(A5,$A$21:$E$36,2,FALSE)</f>
        <v>Flores, Pedro</v>
      </c>
      <c r="C5" s="46" t="str">
        <f>HLOOKUP(VLOOKUP(A5,$A$22:$C$36,3,FALSE),$F$21:$J$23,2,FALSE)</f>
        <v>Pediatría</v>
      </c>
      <c r="D5" s="42">
        <v>41470</v>
      </c>
      <c r="E5" s="45" t="str">
        <f>IF(OR($C5=$H$22,$C5=$I$22),"alta",IF($C5=$F$22,"normal","Baja"))</f>
        <v>alta</v>
      </c>
      <c r="F5" s="35" t="str">
        <f>IF(AND(C5="Traumatología",D5&gt;DATE(2013,7,10)),"25","20")</f>
        <v>20</v>
      </c>
      <c r="G5" s="35" t="s">
        <v>195</v>
      </c>
      <c r="H5" s="49">
        <f>IF(G5="si",D5+7,D5+60)</f>
        <v>41477</v>
      </c>
      <c r="I5" s="80">
        <f>IF(E5="alta",HLOOKUP(C5,$F$22:$J$23,2,FALSE)*20%+HLOOKUP(C5,$F$22:$J$23,2,FALSE),HLOOKUP(C5,$F$22:$J$23,2,FALSE))</f>
        <v>156</v>
      </c>
      <c r="K5" t="str">
        <f>IF(AND(C5=$L$22,D5&gt;N22),"25","20")</f>
        <v>20</v>
      </c>
    </row>
    <row r="6" spans="1:11" x14ac:dyDescent="0.2">
      <c r="A6" s="8">
        <v>120</v>
      </c>
      <c r="B6" s="35" t="str">
        <f t="shared" ref="B6:B17" si="0">VLOOKUP(A6,$A$21:$E$36,2,FALSE)</f>
        <v>Jerez, Marcos</v>
      </c>
      <c r="C6" s="46" t="str">
        <f t="shared" ref="C6:C17" si="1">HLOOKUP(VLOOKUP(A6,$A$22:$C$36,3,FALSE),$F$21:$J$23,2,FALSE)</f>
        <v>Traumatología</v>
      </c>
      <c r="D6" s="42">
        <v>41465</v>
      </c>
      <c r="E6" s="46" t="str">
        <f t="shared" ref="E6:E17" si="2">IF(OR($C6=$H$22,$C6=$I$22),"alta",IF($C6=$F$22,"normal","Baja"))</f>
        <v>alta</v>
      </c>
      <c r="F6" s="46" t="str">
        <f t="shared" ref="F6:F17" si="3">IF(AND(C6="Traumatología",D6&gt;DATE(2013,7,10)),"25","20")</f>
        <v>20</v>
      </c>
      <c r="G6" s="35" t="s">
        <v>195</v>
      </c>
      <c r="H6" s="49">
        <f t="shared" ref="H6:H17" si="4">IF(G6="si",D6+7,D6+60)</f>
        <v>41472</v>
      </c>
      <c r="I6" s="80">
        <f t="shared" ref="I6:I17" si="5">IF(E6="alta",HLOOKUP(C6,$F$22:$J$23,2,FALSE)*20%+HLOOKUP(C6,$F$22:$J$23,2,FALSE),HLOOKUP(C6,$F$22:$J$23,2,FALSE))</f>
        <v>216</v>
      </c>
      <c r="K6" t="str">
        <f t="shared" ref="K6:K17" si="6">IF(AND(C6=$L$22,D6&gt;N23),"25","20")</f>
        <v>20</v>
      </c>
    </row>
    <row r="7" spans="1:11" x14ac:dyDescent="0.2">
      <c r="A7" s="8">
        <v>115</v>
      </c>
      <c r="B7" s="35" t="str">
        <f t="shared" si="0"/>
        <v>Forino, Hector</v>
      </c>
      <c r="C7" s="46" t="str">
        <f t="shared" si="1"/>
        <v>Traumatología</v>
      </c>
      <c r="D7" s="42">
        <v>41466</v>
      </c>
      <c r="E7" s="46" t="str">
        <f t="shared" si="2"/>
        <v>alta</v>
      </c>
      <c r="F7" s="46" t="str">
        <f t="shared" si="3"/>
        <v>25</v>
      </c>
      <c r="G7" s="35" t="s">
        <v>195</v>
      </c>
      <c r="H7" s="49">
        <f t="shared" si="4"/>
        <v>41473</v>
      </c>
      <c r="I7" s="80">
        <f t="shared" si="5"/>
        <v>216</v>
      </c>
      <c r="K7" t="str">
        <f t="shared" si="6"/>
        <v>20</v>
      </c>
    </row>
    <row r="8" spans="1:11" x14ac:dyDescent="0.2">
      <c r="A8" s="8">
        <v>125</v>
      </c>
      <c r="B8" s="35" t="str">
        <f t="shared" si="0"/>
        <v>Ponce, Helena</v>
      </c>
      <c r="C8" s="46" t="str">
        <f t="shared" si="1"/>
        <v>Oftalmología</v>
      </c>
      <c r="D8" s="42">
        <v>41462</v>
      </c>
      <c r="E8" s="46" t="str">
        <f t="shared" si="2"/>
        <v>normal</v>
      </c>
      <c r="F8" s="46" t="str">
        <f t="shared" si="3"/>
        <v>20</v>
      </c>
      <c r="G8" s="35" t="s">
        <v>196</v>
      </c>
      <c r="H8" s="49">
        <f t="shared" si="4"/>
        <v>41522</v>
      </c>
      <c r="I8" s="80">
        <f t="shared" si="5"/>
        <v>150</v>
      </c>
      <c r="K8" t="str">
        <f t="shared" si="6"/>
        <v>25</v>
      </c>
    </row>
    <row r="9" spans="1:11" x14ac:dyDescent="0.2">
      <c r="A9" s="8">
        <v>109</v>
      </c>
      <c r="B9" s="35" t="str">
        <f t="shared" si="0"/>
        <v>Pietra, Laura</v>
      </c>
      <c r="C9" s="46" t="str">
        <f t="shared" si="1"/>
        <v>Dermatología</v>
      </c>
      <c r="D9" s="42">
        <v>41473</v>
      </c>
      <c r="E9" s="46" t="str">
        <f t="shared" si="2"/>
        <v>Baja</v>
      </c>
      <c r="F9" s="46" t="str">
        <f t="shared" si="3"/>
        <v>20</v>
      </c>
      <c r="G9" s="35" t="s">
        <v>195</v>
      </c>
      <c r="H9" s="49">
        <f t="shared" si="4"/>
        <v>41480</v>
      </c>
      <c r="I9" s="80">
        <f t="shared" si="5"/>
        <v>150</v>
      </c>
      <c r="K9" t="str">
        <f t="shared" si="6"/>
        <v>20</v>
      </c>
    </row>
    <row r="10" spans="1:11" x14ac:dyDescent="0.2">
      <c r="A10" s="8">
        <v>108</v>
      </c>
      <c r="B10" s="35" t="str">
        <f t="shared" si="0"/>
        <v>Vilches, Luis</v>
      </c>
      <c r="C10" s="46" t="str">
        <f t="shared" si="1"/>
        <v>Clínica</v>
      </c>
      <c r="D10" s="42">
        <v>41478</v>
      </c>
      <c r="E10" s="46" t="str">
        <f t="shared" si="2"/>
        <v>Baja</v>
      </c>
      <c r="F10" s="46" t="str">
        <f t="shared" si="3"/>
        <v>20</v>
      </c>
      <c r="G10" s="35" t="s">
        <v>195</v>
      </c>
      <c r="H10" s="49">
        <f t="shared" si="4"/>
        <v>41485</v>
      </c>
      <c r="I10" s="80">
        <f t="shared" si="5"/>
        <v>100</v>
      </c>
      <c r="K10" t="str">
        <f t="shared" si="6"/>
        <v>20</v>
      </c>
    </row>
    <row r="11" spans="1:11" x14ac:dyDescent="0.2">
      <c r="A11" s="8">
        <v>130</v>
      </c>
      <c r="B11" s="35" t="str">
        <f t="shared" si="0"/>
        <v>Pitani, José</v>
      </c>
      <c r="C11" s="46" t="str">
        <f t="shared" si="1"/>
        <v>Traumatología</v>
      </c>
      <c r="D11" s="42">
        <v>41482</v>
      </c>
      <c r="E11" s="46" t="str">
        <f t="shared" si="2"/>
        <v>alta</v>
      </c>
      <c r="F11" s="46" t="str">
        <f t="shared" si="3"/>
        <v>25</v>
      </c>
      <c r="G11" s="35" t="s">
        <v>195</v>
      </c>
      <c r="H11" s="49">
        <f t="shared" si="4"/>
        <v>41489</v>
      </c>
      <c r="I11" s="80">
        <f t="shared" si="5"/>
        <v>216</v>
      </c>
      <c r="K11" t="str">
        <f t="shared" si="6"/>
        <v>20</v>
      </c>
    </row>
    <row r="12" spans="1:11" x14ac:dyDescent="0.2">
      <c r="A12" s="8">
        <v>142</v>
      </c>
      <c r="B12" s="35" t="str">
        <f t="shared" si="0"/>
        <v>López, Ana</v>
      </c>
      <c r="C12" s="46" t="str">
        <f t="shared" si="1"/>
        <v>Traumatología</v>
      </c>
      <c r="D12" s="42">
        <v>41468</v>
      </c>
      <c r="E12" s="46" t="str">
        <f t="shared" si="2"/>
        <v>alta</v>
      </c>
      <c r="F12" s="46" t="str">
        <f t="shared" si="3"/>
        <v>25</v>
      </c>
      <c r="G12" s="35" t="s">
        <v>195</v>
      </c>
      <c r="H12" s="49">
        <f t="shared" si="4"/>
        <v>41475</v>
      </c>
      <c r="I12" s="80">
        <f t="shared" si="5"/>
        <v>216</v>
      </c>
      <c r="K12" t="str">
        <f t="shared" si="6"/>
        <v>20</v>
      </c>
    </row>
    <row r="13" spans="1:11" x14ac:dyDescent="0.2">
      <c r="A13" s="8">
        <v>128</v>
      </c>
      <c r="B13" s="35" t="str">
        <f t="shared" si="0"/>
        <v>Pérez, Roberto</v>
      </c>
      <c r="C13" s="46" t="str">
        <f t="shared" si="1"/>
        <v>Oftalmología</v>
      </c>
      <c r="D13" s="42">
        <v>41476</v>
      </c>
      <c r="E13" s="46" t="str">
        <f t="shared" si="2"/>
        <v>normal</v>
      </c>
      <c r="F13" s="46" t="str">
        <f t="shared" si="3"/>
        <v>20</v>
      </c>
      <c r="G13" s="35" t="s">
        <v>196</v>
      </c>
      <c r="H13" s="49">
        <f t="shared" si="4"/>
        <v>41536</v>
      </c>
      <c r="I13" s="80">
        <f t="shared" si="5"/>
        <v>150</v>
      </c>
      <c r="K13" t="str">
        <f t="shared" si="6"/>
        <v>25</v>
      </c>
    </row>
    <row r="14" spans="1:11" x14ac:dyDescent="0.2">
      <c r="A14" s="8">
        <v>113</v>
      </c>
      <c r="B14" s="35" t="str">
        <f t="shared" si="0"/>
        <v>López, María</v>
      </c>
      <c r="C14" s="46" t="str">
        <f t="shared" si="1"/>
        <v>Clínica</v>
      </c>
      <c r="D14" s="42">
        <v>41465</v>
      </c>
      <c r="E14" s="46" t="str">
        <f t="shared" si="2"/>
        <v>Baja</v>
      </c>
      <c r="F14" s="46" t="str">
        <f t="shared" si="3"/>
        <v>20</v>
      </c>
      <c r="G14" s="35" t="s">
        <v>196</v>
      </c>
      <c r="H14" s="49">
        <f t="shared" si="4"/>
        <v>41525</v>
      </c>
      <c r="I14" s="80">
        <f t="shared" si="5"/>
        <v>100</v>
      </c>
      <c r="K14" t="str">
        <f t="shared" si="6"/>
        <v>20</v>
      </c>
    </row>
    <row r="15" spans="1:11" x14ac:dyDescent="0.2">
      <c r="A15" s="8">
        <v>122</v>
      </c>
      <c r="B15" s="35" t="str">
        <f t="shared" si="0"/>
        <v>Rosso, Marta</v>
      </c>
      <c r="C15" s="46" t="str">
        <f t="shared" si="1"/>
        <v>Traumatología</v>
      </c>
      <c r="D15" s="42">
        <v>41469</v>
      </c>
      <c r="E15" s="46" t="str">
        <f t="shared" si="2"/>
        <v>alta</v>
      </c>
      <c r="F15" s="46" t="str">
        <f t="shared" si="3"/>
        <v>25</v>
      </c>
      <c r="G15" s="35" t="s">
        <v>195</v>
      </c>
      <c r="H15" s="49">
        <f t="shared" si="4"/>
        <v>41476</v>
      </c>
      <c r="I15" s="80">
        <f t="shared" si="5"/>
        <v>216</v>
      </c>
      <c r="K15" t="str">
        <f t="shared" si="6"/>
        <v>20</v>
      </c>
    </row>
    <row r="16" spans="1:11" x14ac:dyDescent="0.2">
      <c r="A16" s="8">
        <v>117</v>
      </c>
      <c r="B16" s="35" t="str">
        <f t="shared" si="0"/>
        <v>Olmedo, Leonor</v>
      </c>
      <c r="C16" s="46" t="str">
        <f t="shared" si="1"/>
        <v>Clínica</v>
      </c>
      <c r="D16" s="42">
        <v>41473</v>
      </c>
      <c r="E16" s="46" t="str">
        <f t="shared" si="2"/>
        <v>Baja</v>
      </c>
      <c r="F16" s="46" t="str">
        <f t="shared" si="3"/>
        <v>20</v>
      </c>
      <c r="G16" s="35" t="s">
        <v>196</v>
      </c>
      <c r="H16" s="49">
        <f t="shared" si="4"/>
        <v>41533</v>
      </c>
      <c r="I16" s="80">
        <f t="shared" si="5"/>
        <v>100</v>
      </c>
      <c r="K16" t="str">
        <f t="shared" si="6"/>
        <v>20</v>
      </c>
    </row>
    <row r="17" spans="1:14" x14ac:dyDescent="0.2">
      <c r="A17" s="8">
        <v>148</v>
      </c>
      <c r="B17" s="35" t="str">
        <f t="shared" si="0"/>
        <v>Llach, Martin</v>
      </c>
      <c r="C17" s="46" t="str">
        <f t="shared" si="1"/>
        <v>Oftalmología</v>
      </c>
      <c r="D17" s="42">
        <v>41478</v>
      </c>
      <c r="E17" s="46" t="str">
        <f t="shared" si="2"/>
        <v>normal</v>
      </c>
      <c r="F17" s="46" t="str">
        <f t="shared" si="3"/>
        <v>20</v>
      </c>
      <c r="G17" s="35" t="s">
        <v>195</v>
      </c>
      <c r="H17" s="49">
        <f t="shared" si="4"/>
        <v>41485</v>
      </c>
      <c r="I17" s="80">
        <f t="shared" si="5"/>
        <v>150</v>
      </c>
      <c r="K17" t="str">
        <f t="shared" si="6"/>
        <v>25</v>
      </c>
    </row>
    <row r="18" spans="1:14" x14ac:dyDescent="0.2">
      <c r="C18" s="2"/>
      <c r="D18" s="1"/>
      <c r="F18" s="47"/>
      <c r="G18" s="47"/>
      <c r="H18" s="1"/>
    </row>
    <row r="19" spans="1:14" x14ac:dyDescent="0.2">
      <c r="F19" s="15"/>
    </row>
    <row r="21" spans="1:14" ht="25.5" x14ac:dyDescent="0.2">
      <c r="A21" s="36" t="s">
        <v>225</v>
      </c>
      <c r="B21" s="37" t="s">
        <v>190</v>
      </c>
      <c r="C21" s="36" t="s">
        <v>226</v>
      </c>
      <c r="E21" s="36" t="s">
        <v>226</v>
      </c>
      <c r="F21" s="43" t="s">
        <v>41</v>
      </c>
      <c r="G21" s="43" t="s">
        <v>42</v>
      </c>
      <c r="H21" s="43" t="s">
        <v>43</v>
      </c>
      <c r="I21" s="43" t="s">
        <v>197</v>
      </c>
      <c r="J21" s="43" t="s">
        <v>198</v>
      </c>
      <c r="L21" s="79" t="s">
        <v>240</v>
      </c>
      <c r="N21" s="79" t="s">
        <v>241</v>
      </c>
    </row>
    <row r="22" spans="1:14" x14ac:dyDescent="0.2">
      <c r="A22" s="38">
        <v>101</v>
      </c>
      <c r="B22" s="38" t="s">
        <v>199</v>
      </c>
      <c r="C22" s="38" t="s">
        <v>41</v>
      </c>
      <c r="E22" s="37" t="s">
        <v>191</v>
      </c>
      <c r="F22" s="38" t="s">
        <v>200</v>
      </c>
      <c r="G22" s="38" t="s">
        <v>201</v>
      </c>
      <c r="H22" s="38" t="s">
        <v>202</v>
      </c>
      <c r="I22" s="38" t="s">
        <v>203</v>
      </c>
      <c r="J22" s="38" t="s">
        <v>204</v>
      </c>
      <c r="L22" t="s">
        <v>200</v>
      </c>
      <c r="N22" s="2">
        <v>41467</v>
      </c>
    </row>
    <row r="23" spans="1:14" x14ac:dyDescent="0.2">
      <c r="A23" s="38">
        <v>128</v>
      </c>
      <c r="B23" s="38" t="s">
        <v>205</v>
      </c>
      <c r="C23" s="38" t="s">
        <v>41</v>
      </c>
      <c r="E23" s="37" t="s">
        <v>194</v>
      </c>
      <c r="F23" s="44">
        <v>150</v>
      </c>
      <c r="G23" s="44">
        <v>100</v>
      </c>
      <c r="H23" s="44">
        <v>180</v>
      </c>
      <c r="I23" s="44">
        <v>130</v>
      </c>
      <c r="J23" s="44">
        <v>150</v>
      </c>
    </row>
    <row r="24" spans="1:14" x14ac:dyDescent="0.2">
      <c r="A24" s="38">
        <v>142</v>
      </c>
      <c r="B24" s="38" t="s">
        <v>206</v>
      </c>
      <c r="C24" s="38" t="s">
        <v>43</v>
      </c>
    </row>
    <row r="25" spans="1:14" x14ac:dyDescent="0.2">
      <c r="A25" s="38">
        <v>108</v>
      </c>
      <c r="B25" s="38" t="s">
        <v>207</v>
      </c>
      <c r="C25" s="39" t="s">
        <v>42</v>
      </c>
    </row>
    <row r="26" spans="1:14" x14ac:dyDescent="0.2">
      <c r="A26" s="38">
        <v>112</v>
      </c>
      <c r="B26" s="38" t="s">
        <v>208</v>
      </c>
      <c r="C26" s="38" t="s">
        <v>197</v>
      </c>
    </row>
    <row r="27" spans="1:14" x14ac:dyDescent="0.2">
      <c r="A27" s="38">
        <v>115</v>
      </c>
      <c r="B27" s="38" t="s">
        <v>209</v>
      </c>
      <c r="C27" s="38" t="s">
        <v>43</v>
      </c>
    </row>
    <row r="28" spans="1:14" x14ac:dyDescent="0.2">
      <c r="A28" s="38">
        <v>120</v>
      </c>
      <c r="B28" s="38" t="s">
        <v>210</v>
      </c>
      <c r="C28" s="38" t="s">
        <v>43</v>
      </c>
    </row>
    <row r="29" spans="1:14" x14ac:dyDescent="0.2">
      <c r="A29" s="38">
        <v>125</v>
      </c>
      <c r="B29" s="38" t="s">
        <v>211</v>
      </c>
      <c r="C29" s="38" t="s">
        <v>41</v>
      </c>
    </row>
    <row r="30" spans="1:14" x14ac:dyDescent="0.2">
      <c r="A30" s="38">
        <v>130</v>
      </c>
      <c r="B30" s="38" t="s">
        <v>212</v>
      </c>
      <c r="C30" s="38" t="s">
        <v>43</v>
      </c>
    </row>
    <row r="31" spans="1:14" x14ac:dyDescent="0.2">
      <c r="A31" s="38">
        <v>131</v>
      </c>
      <c r="B31" s="38" t="s">
        <v>213</v>
      </c>
      <c r="C31" s="38" t="s">
        <v>43</v>
      </c>
    </row>
    <row r="32" spans="1:14" x14ac:dyDescent="0.2">
      <c r="A32" s="38">
        <v>113</v>
      </c>
      <c r="B32" s="38" t="s">
        <v>214</v>
      </c>
      <c r="C32" s="38" t="s">
        <v>42</v>
      </c>
    </row>
    <row r="33" spans="1:9" x14ac:dyDescent="0.2">
      <c r="A33" s="38">
        <v>109</v>
      </c>
      <c r="B33" s="38" t="s">
        <v>215</v>
      </c>
      <c r="C33" s="38" t="s">
        <v>198</v>
      </c>
    </row>
    <row r="34" spans="1:9" x14ac:dyDescent="0.2">
      <c r="A34" s="38">
        <v>148</v>
      </c>
      <c r="B34" s="38" t="s">
        <v>216</v>
      </c>
      <c r="C34" s="38" t="s">
        <v>41</v>
      </c>
    </row>
    <row r="35" spans="1:9" x14ac:dyDescent="0.2">
      <c r="A35" s="38">
        <v>117</v>
      </c>
      <c r="B35" s="38" t="s">
        <v>217</v>
      </c>
      <c r="C35" s="38" t="s">
        <v>42</v>
      </c>
    </row>
    <row r="36" spans="1:9" x14ac:dyDescent="0.2">
      <c r="A36" s="38">
        <v>122</v>
      </c>
      <c r="B36" s="38" t="s">
        <v>218</v>
      </c>
      <c r="C36" s="38" t="s">
        <v>43</v>
      </c>
    </row>
    <row r="40" spans="1:9" ht="25.5" x14ac:dyDescent="0.2">
      <c r="A40" s="40" t="s">
        <v>221</v>
      </c>
      <c r="B40" s="41" t="s">
        <v>190</v>
      </c>
      <c r="C40" s="41" t="s">
        <v>191</v>
      </c>
      <c r="D40" s="40" t="s">
        <v>222</v>
      </c>
      <c r="E40" s="41" t="s">
        <v>192</v>
      </c>
      <c r="F40" s="40" t="s">
        <v>223</v>
      </c>
      <c r="G40" s="41" t="s">
        <v>193</v>
      </c>
      <c r="H40" s="40" t="s">
        <v>224</v>
      </c>
      <c r="I40" s="41" t="s">
        <v>194</v>
      </c>
    </row>
    <row r="41" spans="1:9" outlineLevel="2" x14ac:dyDescent="0.2">
      <c r="A41" s="8">
        <v>112</v>
      </c>
      <c r="B41" s="46" t="str">
        <f t="shared" ref="B41:B46" si="7">VLOOKUP(A41,$A$21:$E$36,2,FALSE)</f>
        <v>Flores, Pedro</v>
      </c>
      <c r="C41" s="46" t="str">
        <f t="shared" ref="C41:C46" si="8">HLOOKUP(VLOOKUP(A41,$A$22:$C$36,3,FALSE),$F$21:$J$23,2,FALSE)</f>
        <v>Pediatría</v>
      </c>
      <c r="D41" s="42">
        <v>41470</v>
      </c>
      <c r="E41" s="46" t="str">
        <f t="shared" ref="E41:E46" si="9">IF(OR($C41=$H$22,$C41=$I$22),"alta",IF($C41=$F$22,"normal","Baja"))</f>
        <v>alta</v>
      </c>
      <c r="F41" s="46" t="str">
        <f t="shared" ref="F41:F46" si="10">IF(AND(C41="Traumatología",D41&gt;DATE(2013,7,10)),"25","20")</f>
        <v>20</v>
      </c>
      <c r="G41" s="46" t="s">
        <v>195</v>
      </c>
      <c r="H41" s="49">
        <f t="shared" ref="H41:H46" si="11">IF(G41="si",D41+7,D41+60)</f>
        <v>41477</v>
      </c>
      <c r="I41" s="80">
        <f t="shared" ref="I41:I46" si="12">IF(E41="alta",HLOOKUP(C41,$F$22:$J$23,2,FALSE)*20%+HLOOKUP(C41,$F$22:$J$23,2,FALSE),HLOOKUP(C41,$F$22:$J$23,2,FALSE))</f>
        <v>156</v>
      </c>
    </row>
    <row r="42" spans="1:9" outlineLevel="2" x14ac:dyDescent="0.2">
      <c r="A42" s="8">
        <v>115</v>
      </c>
      <c r="B42" s="46" t="str">
        <f t="shared" si="7"/>
        <v>Forino, Hector</v>
      </c>
      <c r="C42" s="46" t="str">
        <f t="shared" si="8"/>
        <v>Traumatología</v>
      </c>
      <c r="D42" s="42">
        <v>41466</v>
      </c>
      <c r="E42" s="46" t="str">
        <f t="shared" si="9"/>
        <v>alta</v>
      </c>
      <c r="F42" s="46" t="str">
        <f t="shared" si="10"/>
        <v>25</v>
      </c>
      <c r="G42" s="46" t="s">
        <v>195</v>
      </c>
      <c r="H42" s="49">
        <f t="shared" si="11"/>
        <v>41473</v>
      </c>
      <c r="I42" s="80">
        <f t="shared" si="12"/>
        <v>216</v>
      </c>
    </row>
    <row r="43" spans="1:9" outlineLevel="2" x14ac:dyDescent="0.2">
      <c r="A43" s="8">
        <v>120</v>
      </c>
      <c r="B43" s="46" t="str">
        <f t="shared" si="7"/>
        <v>Jerez, Marcos</v>
      </c>
      <c r="C43" s="46" t="str">
        <f t="shared" si="8"/>
        <v>Traumatología</v>
      </c>
      <c r="D43" s="42">
        <v>41465</v>
      </c>
      <c r="E43" s="46" t="str">
        <f t="shared" si="9"/>
        <v>alta</v>
      </c>
      <c r="F43" s="46" t="str">
        <f t="shared" si="10"/>
        <v>20</v>
      </c>
      <c r="G43" s="46" t="s">
        <v>195</v>
      </c>
      <c r="H43" s="49">
        <f t="shared" si="11"/>
        <v>41472</v>
      </c>
      <c r="I43" s="80">
        <f t="shared" si="12"/>
        <v>216</v>
      </c>
    </row>
    <row r="44" spans="1:9" outlineLevel="2" x14ac:dyDescent="0.2">
      <c r="A44" s="8">
        <v>142</v>
      </c>
      <c r="B44" s="46" t="str">
        <f t="shared" si="7"/>
        <v>López, Ana</v>
      </c>
      <c r="C44" s="46" t="str">
        <f t="shared" si="8"/>
        <v>Traumatología</v>
      </c>
      <c r="D44" s="42">
        <v>41468</v>
      </c>
      <c r="E44" s="46" t="str">
        <f t="shared" si="9"/>
        <v>alta</v>
      </c>
      <c r="F44" s="46" t="str">
        <f t="shared" si="10"/>
        <v>25</v>
      </c>
      <c r="G44" s="46" t="s">
        <v>195</v>
      </c>
      <c r="H44" s="49">
        <f t="shared" si="11"/>
        <v>41475</v>
      </c>
      <c r="I44" s="80">
        <f t="shared" si="12"/>
        <v>216</v>
      </c>
    </row>
    <row r="45" spans="1:9" outlineLevel="2" x14ac:dyDescent="0.2">
      <c r="A45" s="8">
        <v>130</v>
      </c>
      <c r="B45" s="46" t="str">
        <f t="shared" si="7"/>
        <v>Pitani, José</v>
      </c>
      <c r="C45" s="46" t="str">
        <f t="shared" si="8"/>
        <v>Traumatología</v>
      </c>
      <c r="D45" s="42">
        <v>41482</v>
      </c>
      <c r="E45" s="46" t="str">
        <f t="shared" si="9"/>
        <v>alta</v>
      </c>
      <c r="F45" s="46" t="str">
        <f t="shared" si="10"/>
        <v>25</v>
      </c>
      <c r="G45" s="46" t="s">
        <v>195</v>
      </c>
      <c r="H45" s="49">
        <f t="shared" si="11"/>
        <v>41489</v>
      </c>
      <c r="I45" s="80">
        <f t="shared" si="12"/>
        <v>216</v>
      </c>
    </row>
    <row r="46" spans="1:9" outlineLevel="2" x14ac:dyDescent="0.2">
      <c r="A46" s="8">
        <v>122</v>
      </c>
      <c r="B46" s="46" t="str">
        <f t="shared" si="7"/>
        <v>Rosso, Marta</v>
      </c>
      <c r="C46" s="46" t="str">
        <f t="shared" si="8"/>
        <v>Traumatología</v>
      </c>
      <c r="D46" s="42">
        <v>41469</v>
      </c>
      <c r="E46" s="46" t="str">
        <f t="shared" si="9"/>
        <v>alta</v>
      </c>
      <c r="F46" s="46" t="str">
        <f t="shared" si="10"/>
        <v>25</v>
      </c>
      <c r="G46" s="46" t="s">
        <v>195</v>
      </c>
      <c r="H46" s="49">
        <f t="shared" si="11"/>
        <v>41476</v>
      </c>
      <c r="I46" s="80">
        <f t="shared" si="12"/>
        <v>216</v>
      </c>
    </row>
    <row r="47" spans="1:9" outlineLevel="1" x14ac:dyDescent="0.2">
      <c r="A47" s="8"/>
      <c r="B47" s="46"/>
      <c r="C47" s="46"/>
      <c r="D47" s="84"/>
      <c r="E47" s="84" t="s">
        <v>243</v>
      </c>
      <c r="F47" s="46"/>
      <c r="G47" s="46"/>
      <c r="H47" s="49"/>
      <c r="I47" s="80">
        <f>SUBTOTAL(9,I41:I46)</f>
        <v>1236</v>
      </c>
    </row>
    <row r="48" spans="1:9" outlineLevel="2" x14ac:dyDescent="0.2">
      <c r="A48" s="8">
        <v>113</v>
      </c>
      <c r="B48" s="46" t="str">
        <f>VLOOKUP(A48,$A$21:$E$36,2,FALSE)</f>
        <v>López, María</v>
      </c>
      <c r="C48" s="46" t="str">
        <f>HLOOKUP(VLOOKUP(A48,$A$22:$C$36,3,FALSE),$F$21:$J$23,2,FALSE)</f>
        <v>Clínica</v>
      </c>
      <c r="D48" s="42">
        <v>41465</v>
      </c>
      <c r="E48" s="46" t="str">
        <f>IF(OR($C48=$H$22,$C48=$I$22),"alta",IF($C48=$F$22,"normal","Baja"))</f>
        <v>Baja</v>
      </c>
      <c r="F48" s="46" t="str">
        <f>IF(AND(C48="Traumatología",D48&gt;DATE(2013,7,10)),"25","20")</f>
        <v>20</v>
      </c>
      <c r="G48" s="46" t="s">
        <v>196</v>
      </c>
      <c r="H48" s="49">
        <f>IF(G48="si",D48+7,D48+60)</f>
        <v>41525</v>
      </c>
      <c r="I48" s="80">
        <f>IF(E48="alta",HLOOKUP(C48,$F$22:$J$23,2,FALSE)*20%+HLOOKUP(C48,$F$22:$J$23,2,FALSE),HLOOKUP(C48,$F$22:$J$23,2,FALSE))</f>
        <v>100</v>
      </c>
    </row>
    <row r="49" spans="1:9" outlineLevel="2" x14ac:dyDescent="0.2">
      <c r="A49" s="8">
        <v>117</v>
      </c>
      <c r="B49" s="46" t="str">
        <f>VLOOKUP(A49,$A$21:$E$36,2,FALSE)</f>
        <v>Olmedo, Leonor</v>
      </c>
      <c r="C49" s="46" t="str">
        <f>HLOOKUP(VLOOKUP(A49,$A$22:$C$36,3,FALSE),$F$21:$J$23,2,FALSE)</f>
        <v>Clínica</v>
      </c>
      <c r="D49" s="42">
        <v>41473</v>
      </c>
      <c r="E49" s="46" t="str">
        <f>IF(OR($C49=$H$22,$C49=$I$22),"alta",IF($C49=$F$22,"normal","Baja"))</f>
        <v>Baja</v>
      </c>
      <c r="F49" s="46" t="str">
        <f>IF(AND(C49="Traumatología",D49&gt;DATE(2013,7,10)),"25","20")</f>
        <v>20</v>
      </c>
      <c r="G49" s="46" t="s">
        <v>196</v>
      </c>
      <c r="H49" s="49">
        <f>IF(G49="si",D49+7,D49+60)</f>
        <v>41533</v>
      </c>
      <c r="I49" s="80">
        <f>IF(E49="alta",HLOOKUP(C49,$F$22:$J$23,2,FALSE)*20%+HLOOKUP(C49,$F$22:$J$23,2,FALSE),HLOOKUP(C49,$F$22:$J$23,2,FALSE))</f>
        <v>100</v>
      </c>
    </row>
    <row r="50" spans="1:9" outlineLevel="2" x14ac:dyDescent="0.2">
      <c r="A50" s="8">
        <v>109</v>
      </c>
      <c r="B50" s="46" t="str">
        <f>VLOOKUP(A50,$A$21:$E$36,2,FALSE)</f>
        <v>Pietra, Laura</v>
      </c>
      <c r="C50" s="46" t="str">
        <f>HLOOKUP(VLOOKUP(A50,$A$22:$C$36,3,FALSE),$F$21:$J$23,2,FALSE)</f>
        <v>Dermatología</v>
      </c>
      <c r="D50" s="42">
        <v>41473</v>
      </c>
      <c r="E50" s="46" t="str">
        <f>IF(OR($C50=$H$22,$C50=$I$22),"alta",IF($C50=$F$22,"normal","Baja"))</f>
        <v>Baja</v>
      </c>
      <c r="F50" s="46" t="str">
        <f>IF(AND(C50="Traumatología",D50&gt;DATE(2013,7,10)),"25","20")</f>
        <v>20</v>
      </c>
      <c r="G50" s="46" t="s">
        <v>195</v>
      </c>
      <c r="H50" s="49">
        <f>IF(G50="si",D50+7,D50+60)</f>
        <v>41480</v>
      </c>
      <c r="I50" s="80">
        <f>IF(E50="alta",HLOOKUP(C50,$F$22:$J$23,2,FALSE)*20%+HLOOKUP(C50,$F$22:$J$23,2,FALSE),HLOOKUP(C50,$F$22:$J$23,2,FALSE))</f>
        <v>150</v>
      </c>
    </row>
    <row r="51" spans="1:9" outlineLevel="2" x14ac:dyDescent="0.2">
      <c r="A51" s="8">
        <v>108</v>
      </c>
      <c r="B51" s="46" t="str">
        <f>VLOOKUP(A51,$A$21:$E$36,2,FALSE)</f>
        <v>Vilches, Luis</v>
      </c>
      <c r="C51" s="46" t="str">
        <f>HLOOKUP(VLOOKUP(A51,$A$22:$C$36,3,FALSE),$F$21:$J$23,2,FALSE)</f>
        <v>Clínica</v>
      </c>
      <c r="D51" s="42">
        <v>41478</v>
      </c>
      <c r="E51" s="46" t="str">
        <f>IF(OR($C51=$H$22,$C51=$I$22),"alta",IF($C51=$F$22,"normal","Baja"))</f>
        <v>Baja</v>
      </c>
      <c r="F51" s="46" t="str">
        <f>IF(AND(C51="Traumatología",D51&gt;DATE(2013,7,10)),"25","20")</f>
        <v>20</v>
      </c>
      <c r="G51" s="46" t="s">
        <v>195</v>
      </c>
      <c r="H51" s="49">
        <f>IF(G51="si",D51+7,D51+60)</f>
        <v>41485</v>
      </c>
      <c r="I51" s="80">
        <f>IF(E51="alta",HLOOKUP(C51,$F$22:$J$23,2,FALSE)*20%+HLOOKUP(C51,$F$22:$J$23,2,FALSE),HLOOKUP(C51,$F$22:$J$23,2,FALSE))</f>
        <v>100</v>
      </c>
    </row>
    <row r="52" spans="1:9" outlineLevel="1" x14ac:dyDescent="0.2">
      <c r="A52" s="8"/>
      <c r="B52" s="46"/>
      <c r="C52" s="46"/>
      <c r="D52" s="85"/>
      <c r="E52" s="85" t="s">
        <v>244</v>
      </c>
      <c r="F52" s="46"/>
      <c r="G52" s="46"/>
      <c r="H52" s="49"/>
      <c r="I52" s="80">
        <f>SUBTOTAL(9,I48:I51)</f>
        <v>450</v>
      </c>
    </row>
    <row r="53" spans="1:9" outlineLevel="2" x14ac:dyDescent="0.2">
      <c r="A53" s="8">
        <v>148</v>
      </c>
      <c r="B53" s="46" t="str">
        <f>VLOOKUP(A53,$A$21:$E$36,2,FALSE)</f>
        <v>Llach, Martin</v>
      </c>
      <c r="C53" s="46" t="str">
        <f>HLOOKUP(VLOOKUP(A53,$A$22:$C$36,3,FALSE),$F$21:$J$23,2,FALSE)</f>
        <v>Oftalmología</v>
      </c>
      <c r="D53" s="42">
        <v>41478</v>
      </c>
      <c r="E53" s="46" t="str">
        <f>IF(OR($C53=$H$22,$C53=$I$22),"alta",IF($C53=$F$22,"normal","Baja"))</f>
        <v>normal</v>
      </c>
      <c r="F53" s="46" t="str">
        <f>IF(AND(C53="Traumatología",D53&gt;DATE(2013,7,10)),"25","20")</f>
        <v>20</v>
      </c>
      <c r="G53" s="46" t="s">
        <v>195</v>
      </c>
      <c r="H53" s="49">
        <f>IF(G53="si",D53+7,D53+60)</f>
        <v>41485</v>
      </c>
      <c r="I53" s="80">
        <f>IF(E53="alta",HLOOKUP(C53,$F$22:$J$23,2,FALSE)*20%+HLOOKUP(C53,$F$22:$J$23,2,FALSE),HLOOKUP(C53,$F$22:$J$23,2,FALSE))</f>
        <v>150</v>
      </c>
    </row>
    <row r="54" spans="1:9" outlineLevel="2" x14ac:dyDescent="0.2">
      <c r="A54" s="8">
        <v>128</v>
      </c>
      <c r="B54" s="46" t="str">
        <f>VLOOKUP(A54,$A$21:$E$36,2,FALSE)</f>
        <v>Pérez, Roberto</v>
      </c>
      <c r="C54" s="46" t="str">
        <f>HLOOKUP(VLOOKUP(A54,$A$22:$C$36,3,FALSE),$F$21:$J$23,2,FALSE)</f>
        <v>Oftalmología</v>
      </c>
      <c r="D54" s="42">
        <v>41476</v>
      </c>
      <c r="E54" s="46" t="str">
        <f>IF(OR($C54=$H$22,$C54=$I$22),"alta",IF($C54=$F$22,"normal","Baja"))</f>
        <v>normal</v>
      </c>
      <c r="F54" s="46" t="str">
        <f>IF(AND(C54="Traumatología",D54&gt;DATE(2013,7,10)),"25","20")</f>
        <v>20</v>
      </c>
      <c r="G54" s="46" t="s">
        <v>196</v>
      </c>
      <c r="H54" s="49">
        <f>IF(G54="si",D54+7,D54+60)</f>
        <v>41536</v>
      </c>
      <c r="I54" s="80">
        <f>IF(E54="alta",HLOOKUP(C54,$F$22:$J$23,2,FALSE)*20%+HLOOKUP(C54,$F$22:$J$23,2,FALSE),HLOOKUP(C54,$F$22:$J$23,2,FALSE))</f>
        <v>150</v>
      </c>
    </row>
    <row r="55" spans="1:9" outlineLevel="2" x14ac:dyDescent="0.2">
      <c r="A55" s="8">
        <v>125</v>
      </c>
      <c r="B55" s="46" t="str">
        <f>VLOOKUP(A55,$A$21:$E$36,2,FALSE)</f>
        <v>Ponce, Helena</v>
      </c>
      <c r="C55" s="46" t="str">
        <f>HLOOKUP(VLOOKUP(A55,$A$22:$C$36,3,FALSE),$F$21:$J$23,2,FALSE)</f>
        <v>Oftalmología</v>
      </c>
      <c r="D55" s="42">
        <v>41462</v>
      </c>
      <c r="E55" s="46" t="str">
        <f>IF(OR($C55=$H$22,$C55=$I$22),"alta",IF($C55=$F$22,"normal","Baja"))</f>
        <v>normal</v>
      </c>
      <c r="F55" s="46" t="str">
        <f>IF(AND(C55="Traumatología",D55&gt;DATE(2013,7,10)),"25","20")</f>
        <v>20</v>
      </c>
      <c r="G55" s="46" t="s">
        <v>196</v>
      </c>
      <c r="H55" s="49">
        <f>IF(G55="si",D55+7,D55+60)</f>
        <v>41522</v>
      </c>
      <c r="I55" s="80">
        <f>IF(E55="alta",HLOOKUP(C55,$F$22:$J$23,2,FALSE)*20%+HLOOKUP(C55,$F$22:$J$23,2,FALSE),HLOOKUP(C55,$F$22:$J$23,2,FALSE))</f>
        <v>150</v>
      </c>
    </row>
    <row r="56" spans="1:9" outlineLevel="1" x14ac:dyDescent="0.2">
      <c r="A56" s="15"/>
      <c r="B56" s="81"/>
      <c r="C56" s="81"/>
      <c r="D56" s="86"/>
      <c r="E56" s="86" t="s">
        <v>245</v>
      </c>
      <c r="F56" s="81"/>
      <c r="G56" s="81"/>
      <c r="H56" s="82"/>
      <c r="I56" s="83">
        <f>SUBTOTAL(9,I53:I55)</f>
        <v>450</v>
      </c>
    </row>
    <row r="57" spans="1:9" x14ac:dyDescent="0.2">
      <c r="A57" s="15"/>
      <c r="B57" s="81"/>
      <c r="C57" s="81"/>
      <c r="D57" s="86"/>
      <c r="E57" s="86" t="s">
        <v>242</v>
      </c>
      <c r="F57" s="81"/>
      <c r="G57" s="81"/>
      <c r="H57" s="82"/>
      <c r="I57" s="83">
        <f>SUBTOTAL(9,I41:I55)</f>
        <v>2136</v>
      </c>
    </row>
    <row r="58" spans="1:9" outlineLevel="1" x14ac:dyDescent="0.2">
      <c r="A58" s="15"/>
      <c r="B58" s="81"/>
      <c r="C58" s="81"/>
      <c r="D58" s="86"/>
      <c r="E58" s="81"/>
      <c r="F58" s="81"/>
    </row>
    <row r="59" spans="1:9" x14ac:dyDescent="0.2">
      <c r="A59" s="15"/>
      <c r="B59" s="81"/>
      <c r="C59" s="81"/>
      <c r="D59" s="86"/>
      <c r="E59" s="81"/>
      <c r="F59" s="81"/>
    </row>
    <row r="92" spans="1:1" x14ac:dyDescent="0.2">
      <c r="A92" s="22">
        <v>41730</v>
      </c>
    </row>
    <row r="995" spans="1:1" x14ac:dyDescent="0.2">
      <c r="A995" t="s">
        <v>145</v>
      </c>
    </row>
  </sheetData>
  <sortState ref="A41:I53">
    <sortCondition ref="E41:E53"/>
    <sortCondition ref="B41:B53"/>
  </sortState>
  <mergeCells count="1">
    <mergeCell ref="A2:I2"/>
  </mergeCells>
  <phoneticPr fontId="2" type="noConversion"/>
  <conditionalFormatting sqref="E5:E17 E41:E46 E48:E51 E53:E55 E58:E59">
    <cfRule type="cellIs" dxfId="2" priority="4" operator="equal">
      <formula>$E$10</formula>
    </cfRule>
    <cfRule type="cellIs" dxfId="1" priority="5" operator="equal">
      <formula>$E$8</formula>
    </cfRule>
    <cfRule type="cellIs" dxfId="0" priority="6" operator="equal">
      <formula>$E$5</formula>
    </cfRule>
  </conditionalFormatting>
  <dataValidations count="1">
    <dataValidation type="list" allowBlank="1" showInputMessage="1" showErrorMessage="1" sqref="L22">
      <formula1>$F$22:$J$22</formula1>
    </dataValidation>
  </dataValidations>
  <pageMargins left="0.75" right="0.75" top="1" bottom="1" header="0" footer="0"/>
  <pageSetup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2:F1007"/>
  <sheetViews>
    <sheetView topLeftCell="A31" workbookViewId="0">
      <selection activeCell="F32" sqref="F32"/>
    </sheetView>
  </sheetViews>
  <sheetFormatPr baseColWidth="10" defaultRowHeight="12.75" outlineLevelRow="2" x14ac:dyDescent="0.2"/>
  <cols>
    <col min="5" max="5" width="12.85546875" bestFit="1" customWidth="1"/>
    <col min="6" max="6" width="13.28515625" bestFit="1" customWidth="1"/>
  </cols>
  <sheetData>
    <row r="2" spans="1:6" ht="18" x14ac:dyDescent="0.25">
      <c r="A2" s="146" t="s">
        <v>157</v>
      </c>
      <c r="B2" s="146"/>
      <c r="C2" s="146"/>
      <c r="D2" s="146"/>
      <c r="E2" s="146"/>
      <c r="F2" s="146"/>
    </row>
    <row r="4" spans="1:6" ht="24.75" customHeight="1" x14ac:dyDescent="0.2">
      <c r="A4" s="50" t="s">
        <v>44</v>
      </c>
      <c r="B4" s="51" t="s">
        <v>45</v>
      </c>
      <c r="C4" s="51" t="s">
        <v>46</v>
      </c>
      <c r="D4" s="51" t="s">
        <v>6</v>
      </c>
      <c r="E4" s="51" t="s">
        <v>18</v>
      </c>
      <c r="F4" s="51" t="s">
        <v>163</v>
      </c>
    </row>
    <row r="5" spans="1:6" outlineLevel="2" x14ac:dyDescent="0.2">
      <c r="A5" s="3" t="s">
        <v>52</v>
      </c>
      <c r="B5" t="s">
        <v>160</v>
      </c>
      <c r="C5" t="s">
        <v>49</v>
      </c>
      <c r="D5">
        <v>17</v>
      </c>
      <c r="E5">
        <v>120000</v>
      </c>
      <c r="F5" s="88">
        <f>D5*E5</f>
        <v>2040000</v>
      </c>
    </row>
    <row r="6" spans="1:6" outlineLevel="2" x14ac:dyDescent="0.2">
      <c r="A6" s="3" t="s">
        <v>52</v>
      </c>
      <c r="B6" t="s">
        <v>159</v>
      </c>
      <c r="C6" t="s">
        <v>49</v>
      </c>
      <c r="D6">
        <v>16</v>
      </c>
      <c r="E6">
        <v>130000</v>
      </c>
      <c r="F6" s="88">
        <f>D6*E6</f>
        <v>2080000</v>
      </c>
    </row>
    <row r="7" spans="1:6" outlineLevel="2" x14ac:dyDescent="0.2">
      <c r="A7" s="3" t="s">
        <v>52</v>
      </c>
      <c r="B7" t="s">
        <v>53</v>
      </c>
      <c r="C7" t="s">
        <v>48</v>
      </c>
      <c r="D7">
        <v>12</v>
      </c>
      <c r="E7">
        <v>65000</v>
      </c>
      <c r="F7" s="88">
        <f>D7*E7</f>
        <v>780000</v>
      </c>
    </row>
    <row r="8" spans="1:6" outlineLevel="1" x14ac:dyDescent="0.2">
      <c r="A8" s="89" t="s">
        <v>246</v>
      </c>
      <c r="E8">
        <f>SUBTOTAL(4,E5:E7)</f>
        <v>130000</v>
      </c>
      <c r="F8" s="88"/>
    </row>
    <row r="9" spans="1:6" outlineLevel="2" x14ac:dyDescent="0.2">
      <c r="A9" s="3" t="s">
        <v>50</v>
      </c>
      <c r="B9" t="s">
        <v>51</v>
      </c>
      <c r="C9" t="s">
        <v>48</v>
      </c>
      <c r="D9">
        <v>15</v>
      </c>
      <c r="E9">
        <v>71000</v>
      </c>
      <c r="F9" s="88">
        <f>D9*E9</f>
        <v>1065000</v>
      </c>
    </row>
    <row r="10" spans="1:6" outlineLevel="2" x14ac:dyDescent="0.2">
      <c r="A10" s="3" t="s">
        <v>50</v>
      </c>
      <c r="B10" t="s">
        <v>54</v>
      </c>
      <c r="C10" t="s">
        <v>48</v>
      </c>
      <c r="D10">
        <v>16</v>
      </c>
      <c r="E10">
        <v>60000</v>
      </c>
      <c r="F10" s="88">
        <f>D10*E10</f>
        <v>960000</v>
      </c>
    </row>
    <row r="11" spans="1:6" outlineLevel="2" x14ac:dyDescent="0.2">
      <c r="A11" s="3" t="s">
        <v>50</v>
      </c>
      <c r="B11" t="s">
        <v>158</v>
      </c>
      <c r="C11" t="s">
        <v>48</v>
      </c>
      <c r="D11">
        <v>5</v>
      </c>
      <c r="E11">
        <v>80000</v>
      </c>
      <c r="F11" s="88">
        <f>D11*E11</f>
        <v>400000</v>
      </c>
    </row>
    <row r="12" spans="1:6" outlineLevel="1" x14ac:dyDescent="0.2">
      <c r="A12" s="89" t="s">
        <v>247</v>
      </c>
      <c r="E12">
        <f>SUBTOTAL(4,E9:E11)</f>
        <v>80000</v>
      </c>
      <c r="F12" s="88"/>
    </row>
    <row r="13" spans="1:6" outlineLevel="2" x14ac:dyDescent="0.2">
      <c r="A13" s="3" t="s">
        <v>55</v>
      </c>
      <c r="B13" s="3" t="s">
        <v>57</v>
      </c>
      <c r="C13" t="s">
        <v>49</v>
      </c>
      <c r="D13">
        <v>12</v>
      </c>
      <c r="E13">
        <v>75000</v>
      </c>
      <c r="F13" s="88">
        <f>D13*E13</f>
        <v>900000</v>
      </c>
    </row>
    <row r="14" spans="1:6" outlineLevel="2" x14ac:dyDescent="0.2">
      <c r="A14" s="3" t="s">
        <v>55</v>
      </c>
      <c r="B14" t="s">
        <v>56</v>
      </c>
      <c r="C14" t="s">
        <v>49</v>
      </c>
      <c r="D14">
        <v>4</v>
      </c>
      <c r="E14">
        <v>140000</v>
      </c>
      <c r="F14" s="88">
        <f>D14*E14</f>
        <v>560000</v>
      </c>
    </row>
    <row r="15" spans="1:6" outlineLevel="1" x14ac:dyDescent="0.2">
      <c r="A15" s="89" t="s">
        <v>248</v>
      </c>
      <c r="E15">
        <f>SUBTOTAL(4,E13:E14)</f>
        <v>140000</v>
      </c>
      <c r="F15" s="88"/>
    </row>
    <row r="16" spans="1:6" outlineLevel="2" x14ac:dyDescent="0.2">
      <c r="A16" s="3" t="s">
        <v>47</v>
      </c>
      <c r="B16" s="3">
        <v>307</v>
      </c>
      <c r="C16" t="s">
        <v>49</v>
      </c>
      <c r="D16">
        <v>9</v>
      </c>
      <c r="E16">
        <v>95000</v>
      </c>
      <c r="F16" s="88">
        <f>D16*E16</f>
        <v>855000</v>
      </c>
    </row>
    <row r="17" spans="1:6" outlineLevel="2" x14ac:dyDescent="0.2">
      <c r="A17" s="3" t="s">
        <v>47</v>
      </c>
      <c r="B17" s="3">
        <v>406</v>
      </c>
      <c r="C17" t="s">
        <v>49</v>
      </c>
      <c r="D17">
        <v>12</v>
      </c>
      <c r="E17">
        <v>110000</v>
      </c>
      <c r="F17" s="88">
        <f>D17*E17</f>
        <v>1320000</v>
      </c>
    </row>
    <row r="18" spans="1:6" outlineLevel="2" x14ac:dyDescent="0.2">
      <c r="A18" s="3" t="s">
        <v>47</v>
      </c>
      <c r="B18" s="3">
        <v>206</v>
      </c>
      <c r="C18" t="s">
        <v>48</v>
      </c>
      <c r="D18">
        <v>20</v>
      </c>
      <c r="E18">
        <v>78000</v>
      </c>
      <c r="F18" s="88">
        <f>D18*E18</f>
        <v>1560000</v>
      </c>
    </row>
    <row r="19" spans="1:6" outlineLevel="1" x14ac:dyDescent="0.2">
      <c r="A19" s="89" t="s">
        <v>249</v>
      </c>
      <c r="B19" s="3"/>
      <c r="E19">
        <f>SUBTOTAL(4,E16:E18)</f>
        <v>110000</v>
      </c>
      <c r="F19" s="88"/>
    </row>
    <row r="20" spans="1:6" x14ac:dyDescent="0.2">
      <c r="A20" s="89" t="s">
        <v>250</v>
      </c>
      <c r="B20" s="3"/>
      <c r="E20">
        <f>SUBTOTAL(4,E5:E18)</f>
        <v>140000</v>
      </c>
      <c r="F20" s="88"/>
    </row>
    <row r="21" spans="1:6" x14ac:dyDescent="0.2">
      <c r="A21" s="3"/>
    </row>
    <row r="22" spans="1:6" x14ac:dyDescent="0.2">
      <c r="A22" s="3"/>
      <c r="C22" s="4"/>
    </row>
    <row r="23" spans="1:6" ht="13.5" thickBot="1" x14ac:dyDescent="0.25">
      <c r="A23" s="3"/>
      <c r="C23" s="4"/>
    </row>
    <row r="24" spans="1:6" x14ac:dyDescent="0.2">
      <c r="A24" s="55"/>
      <c r="B24" s="56"/>
      <c r="C24" s="61" t="s">
        <v>58</v>
      </c>
      <c r="D24" s="62" t="s">
        <v>59</v>
      </c>
    </row>
    <row r="25" spans="1:6" x14ac:dyDescent="0.2">
      <c r="A25" s="57" t="s">
        <v>164</v>
      </c>
      <c r="B25" s="58"/>
      <c r="C25" s="54">
        <f>SUMIF(C5:C18,C5,D5:D18)</f>
        <v>70</v>
      </c>
      <c r="D25" s="132">
        <f>COUNTIF(C5:C18,C6)</f>
        <v>6</v>
      </c>
    </row>
    <row r="26" spans="1:6" ht="13.5" thickBot="1" x14ac:dyDescent="0.25">
      <c r="A26" s="59" t="s">
        <v>165</v>
      </c>
      <c r="B26" s="60"/>
      <c r="C26" s="165">
        <f>SUMIF(C5:C18,C9,D5:D18)</f>
        <v>68</v>
      </c>
      <c r="D26" s="133">
        <f>COUNTIF(C5:C18,C7)</f>
        <v>5</v>
      </c>
    </row>
    <row r="27" spans="1:6" ht="13.5" thickBot="1" x14ac:dyDescent="0.25"/>
    <row r="28" spans="1:6" ht="13.5" thickBot="1" x14ac:dyDescent="0.25">
      <c r="A28" s="63" t="s">
        <v>167</v>
      </c>
      <c r="B28" s="64"/>
      <c r="C28" s="64"/>
      <c r="D28" s="135" t="s">
        <v>50</v>
      </c>
      <c r="E28" s="90">
        <f>IF(D28=A7,AVERAGE(F5:F7),IF(D28=A9,AVERAGE(F9:F11),IF(D28=A13,AVERAGE(F13:F14),IF(D28=A16,AVERAGE(F16:F18),""))))</f>
        <v>808333.33333333337</v>
      </c>
    </row>
    <row r="29" spans="1:6" ht="13.5" thickBot="1" x14ac:dyDescent="0.25">
      <c r="A29" s="52" t="s">
        <v>166</v>
      </c>
      <c r="B29" s="53"/>
      <c r="C29" s="53"/>
      <c r="D29" s="66" t="s">
        <v>251</v>
      </c>
      <c r="E29" s="136">
        <f>SUMIF(C5:C18,D29,F5:F18)</f>
        <v>4765000</v>
      </c>
    </row>
    <row r="34" spans="6:6" x14ac:dyDescent="0.2">
      <c r="F34" s="15"/>
    </row>
    <row r="35" spans="6:6" x14ac:dyDescent="0.2">
      <c r="F35" s="15"/>
    </row>
    <row r="105" spans="1:1" x14ac:dyDescent="0.2">
      <c r="A105" s="22">
        <v>41730</v>
      </c>
    </row>
    <row r="1000" spans="1:1" x14ac:dyDescent="0.2">
      <c r="A1000" s="13" t="s">
        <v>252</v>
      </c>
    </row>
    <row r="1007" spans="1:1" x14ac:dyDescent="0.2">
      <c r="A1007" t="s">
        <v>145</v>
      </c>
    </row>
  </sheetData>
  <sortState ref="A5:F15">
    <sortCondition ref="A5:A15"/>
    <sortCondition ref="C5:C15"/>
  </sortState>
  <mergeCells count="1">
    <mergeCell ref="A2:F2"/>
  </mergeCells>
  <phoneticPr fontId="2" type="noConversion"/>
  <dataValidations count="4">
    <dataValidation type="list" allowBlank="1" showInputMessage="1" showErrorMessage="1" error="no es una marca valida" prompt="elija una de las siguientes opciones" sqref="A4">
      <formula1>"chevrolet, fiat, ford, peugeot"</formula1>
    </dataValidation>
    <dataValidation type="list" errorStyle="warning" allowBlank="1" showInputMessage="1" showErrorMessage="1" error="no es valido" prompt="seleccione una opción" sqref="C4">
      <formula1>"nacional, importado"</formula1>
    </dataValidation>
    <dataValidation type="list" allowBlank="1" showInputMessage="1" showErrorMessage="1" error="error, no es una de las opciones" prompt="seleccione una opción" sqref="D28">
      <formula1>"Chevrolet, Fiat, Ford, Peugeot"</formula1>
    </dataValidation>
    <dataValidation type="list" errorStyle="information" allowBlank="1" showInputMessage="1" showErrorMessage="1" error="no permitido" prompt="elija una de las opciones" sqref="D29">
      <formula1>"nacional, importado"</formula1>
    </dataValidation>
  </dataValidations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L1000"/>
  <sheetViews>
    <sheetView topLeftCell="A7" workbookViewId="0">
      <selection activeCell="C21" sqref="C21"/>
    </sheetView>
  </sheetViews>
  <sheetFormatPr baseColWidth="10" defaultRowHeight="12.75" x14ac:dyDescent="0.2"/>
  <cols>
    <col min="2" max="2" width="18.28515625" customWidth="1"/>
    <col min="3" max="3" width="13.5703125" bestFit="1" customWidth="1"/>
    <col min="5" max="5" width="14.5703125" bestFit="1" customWidth="1"/>
    <col min="7" max="7" width="13.7109375" bestFit="1" customWidth="1"/>
    <col min="10" max="10" width="11.85546875" bestFit="1" customWidth="1"/>
  </cols>
  <sheetData>
    <row r="1" spans="1:12" ht="20.25" x14ac:dyDescent="0.3">
      <c r="A1" s="147" t="s">
        <v>170</v>
      </c>
      <c r="B1" s="147"/>
      <c r="C1" s="147"/>
    </row>
    <row r="2" spans="1:12" ht="39.75" customHeight="1" x14ac:dyDescent="0.2">
      <c r="A2" s="148" t="s">
        <v>171</v>
      </c>
      <c r="B2" s="148"/>
      <c r="C2" s="148"/>
      <c r="D2" s="148"/>
      <c r="E2" s="148"/>
      <c r="F2" s="148"/>
      <c r="G2" s="148"/>
    </row>
    <row r="3" spans="1:12" x14ac:dyDescent="0.2">
      <c r="A3" s="148"/>
      <c r="B3" s="148"/>
      <c r="C3" s="148"/>
      <c r="D3" s="148"/>
      <c r="E3" s="148"/>
      <c r="F3" s="148"/>
      <c r="G3" s="148"/>
    </row>
    <row r="4" spans="1:12" x14ac:dyDescent="0.2">
      <c r="K4" s="15"/>
      <c r="L4" s="15"/>
    </row>
    <row r="5" spans="1:12" x14ac:dyDescent="0.2">
      <c r="A5" s="149" t="s">
        <v>176</v>
      </c>
      <c r="B5" s="150"/>
      <c r="C5" s="150"/>
      <c r="D5" s="150"/>
      <c r="E5" s="150"/>
      <c r="F5" s="150"/>
      <c r="G5" s="151"/>
      <c r="K5" s="15"/>
      <c r="L5" s="16"/>
    </row>
    <row r="6" spans="1:12" ht="30.75" customHeight="1" x14ac:dyDescent="0.2">
      <c r="A6" s="68" t="s">
        <v>60</v>
      </c>
      <c r="B6" s="68" t="s">
        <v>61</v>
      </c>
      <c r="C6" s="69" t="s">
        <v>227</v>
      </c>
      <c r="D6" s="69" t="s">
        <v>228</v>
      </c>
      <c r="E6" s="69" t="s">
        <v>229</v>
      </c>
      <c r="F6" s="69" t="s">
        <v>230</v>
      </c>
      <c r="G6" s="69" t="s">
        <v>231</v>
      </c>
      <c r="J6" s="15"/>
      <c r="K6" s="15"/>
      <c r="L6" s="16"/>
    </row>
    <row r="7" spans="1:12" x14ac:dyDescent="0.2">
      <c r="A7" s="8">
        <v>1</v>
      </c>
      <c r="B7" s="18" t="str">
        <f>IF(A7="","ingrese código",VLOOKUP(A7,A27:C36,2,FALSE))</f>
        <v>ACER</v>
      </c>
      <c r="C7" s="8" t="s">
        <v>173</v>
      </c>
      <c r="D7" s="30">
        <f>IF(A7="","",VLOOKUP(A7,$A$27:$C$36,3,FALSE))</f>
        <v>7120</v>
      </c>
      <c r="E7" s="30">
        <f>IF(A7="","",D7/HLOOKUP(C7,$F$26:$I$27,2,FALSE))</f>
        <v>2373.3333333333335</v>
      </c>
      <c r="F7" s="30">
        <f>IF(A7="","",E7*HLOOKUP(C7,$F$26:$I$28,3,FALSE))</f>
        <v>59.333333333333343</v>
      </c>
      <c r="G7" s="30">
        <f>IF(A7="","",E7+F7)</f>
        <v>2432.666666666667</v>
      </c>
      <c r="J7" s="15"/>
      <c r="K7" s="15"/>
      <c r="L7" s="16"/>
    </row>
    <row r="8" spans="1:12" x14ac:dyDescent="0.2">
      <c r="A8" s="8">
        <v>2</v>
      </c>
      <c r="B8" s="18" t="str">
        <f>IF($A8="","INGRESE CÓDIGO",VLOOKUP(A8,$A$28:$C$37,2,FALSE))</f>
        <v>IBM</v>
      </c>
      <c r="C8" s="8" t="s">
        <v>175</v>
      </c>
      <c r="D8" s="30">
        <f t="shared" ref="D8:D16" si="0">IF(A8="","",VLOOKUP(A8,$A$27:$C$36,3,FALSE))</f>
        <v>4890</v>
      </c>
      <c r="E8" s="30">
        <f t="shared" ref="E8:E16" si="1">IF(A8="","",D8/HLOOKUP(C8,$F$26:$I$27,2,FALSE))</f>
        <v>407.5</v>
      </c>
      <c r="F8" s="30">
        <f t="shared" ref="F8:F16" si="2">IF(A8="","",E8*HLOOKUP(C8,$F$26:$I$28,3,FALSE))</f>
        <v>18.337499999999999</v>
      </c>
      <c r="G8" s="30">
        <f t="shared" ref="G8:G16" si="3">IF(A8="","",E8+F8)</f>
        <v>425.83749999999998</v>
      </c>
      <c r="J8" s="15"/>
    </row>
    <row r="9" spans="1:12" x14ac:dyDescent="0.2">
      <c r="A9" s="8">
        <v>3</v>
      </c>
      <c r="B9" s="18" t="str">
        <f t="shared" ref="B9:B16" si="4">IF($A9="","INGRESE CÓDIGO",VLOOKUP(A9,$A$28:$C$37,2,FALSE))</f>
        <v>EPSON</v>
      </c>
      <c r="C9" s="8" t="s">
        <v>174</v>
      </c>
      <c r="D9" s="30">
        <f t="shared" si="0"/>
        <v>3525</v>
      </c>
      <c r="E9" s="30">
        <f t="shared" si="1"/>
        <v>587.5</v>
      </c>
      <c r="F9" s="30">
        <f t="shared" si="2"/>
        <v>22.03125</v>
      </c>
      <c r="G9" s="30">
        <f t="shared" si="3"/>
        <v>609.53125</v>
      </c>
      <c r="J9" s="15"/>
    </row>
    <row r="10" spans="1:12" x14ac:dyDescent="0.2">
      <c r="A10" s="8">
        <v>9</v>
      </c>
      <c r="B10" s="18" t="str">
        <f t="shared" si="4"/>
        <v>APPLE</v>
      </c>
      <c r="C10" s="7" t="s">
        <v>173</v>
      </c>
      <c r="D10" s="91">
        <f t="shared" si="0"/>
        <v>8945</v>
      </c>
      <c r="E10" s="91">
        <f t="shared" si="1"/>
        <v>2981.6666666666665</v>
      </c>
      <c r="F10" s="30">
        <f t="shared" si="2"/>
        <v>74.541666666666671</v>
      </c>
      <c r="G10" s="30">
        <f t="shared" si="3"/>
        <v>3056.208333333333</v>
      </c>
      <c r="H10" s="1"/>
      <c r="I10" s="1"/>
      <c r="J10" s="87"/>
    </row>
    <row r="11" spans="1:12" x14ac:dyDescent="0.2">
      <c r="A11" s="8">
        <v>5</v>
      </c>
      <c r="B11" s="18" t="str">
        <f t="shared" si="4"/>
        <v>TEXAS</v>
      </c>
      <c r="C11" s="7" t="s">
        <v>172</v>
      </c>
      <c r="D11" s="91">
        <f t="shared" si="0"/>
        <v>4800</v>
      </c>
      <c r="E11" s="91">
        <f t="shared" si="1"/>
        <v>4800</v>
      </c>
      <c r="F11" s="30">
        <f t="shared" si="2"/>
        <v>0</v>
      </c>
      <c r="G11" s="30">
        <f t="shared" si="3"/>
        <v>4800</v>
      </c>
      <c r="H11" s="1"/>
      <c r="I11" s="1"/>
    </row>
    <row r="12" spans="1:12" x14ac:dyDescent="0.2">
      <c r="A12" s="8">
        <v>2</v>
      </c>
      <c r="B12" s="18" t="str">
        <f t="shared" si="4"/>
        <v>IBM</v>
      </c>
      <c r="C12" s="7" t="s">
        <v>174</v>
      </c>
      <c r="D12" s="91">
        <f t="shared" si="0"/>
        <v>4890</v>
      </c>
      <c r="E12" s="91">
        <f t="shared" si="1"/>
        <v>815</v>
      </c>
      <c r="F12" s="30">
        <f t="shared" si="2"/>
        <v>30.5625</v>
      </c>
      <c r="G12" s="30">
        <f t="shared" si="3"/>
        <v>845.5625</v>
      </c>
      <c r="H12" s="1"/>
      <c r="I12" s="1"/>
    </row>
    <row r="13" spans="1:12" x14ac:dyDescent="0.2">
      <c r="A13" s="8">
        <v>7</v>
      </c>
      <c r="B13" s="18" t="str">
        <f t="shared" si="4"/>
        <v>TOSHIBA</v>
      </c>
      <c r="C13" s="7" t="s">
        <v>172</v>
      </c>
      <c r="D13" s="91">
        <f t="shared" si="0"/>
        <v>6530</v>
      </c>
      <c r="E13" s="91">
        <f t="shared" si="1"/>
        <v>6530</v>
      </c>
      <c r="F13" s="30">
        <f t="shared" si="2"/>
        <v>0</v>
      </c>
      <c r="G13" s="30">
        <f t="shared" si="3"/>
        <v>6530</v>
      </c>
      <c r="H13" s="1"/>
      <c r="I13" s="1"/>
    </row>
    <row r="14" spans="1:12" x14ac:dyDescent="0.2">
      <c r="A14" s="8">
        <v>8</v>
      </c>
      <c r="B14" s="18" t="str">
        <f t="shared" si="4"/>
        <v>COMPAQ</v>
      </c>
      <c r="C14" s="7" t="s">
        <v>173</v>
      </c>
      <c r="D14" s="30">
        <f t="shared" si="0"/>
        <v>5645</v>
      </c>
      <c r="E14" s="30">
        <f t="shared" si="1"/>
        <v>1881.6666666666667</v>
      </c>
      <c r="F14" s="30">
        <f t="shared" si="2"/>
        <v>47.041666666666671</v>
      </c>
      <c r="G14" s="30">
        <f t="shared" si="3"/>
        <v>1928.7083333333335</v>
      </c>
      <c r="H14" s="1"/>
      <c r="I14" s="1"/>
    </row>
    <row r="15" spans="1:12" x14ac:dyDescent="0.2">
      <c r="A15" s="8">
        <v>9</v>
      </c>
      <c r="B15" s="18" t="str">
        <f t="shared" si="4"/>
        <v>APPLE</v>
      </c>
      <c r="C15" s="7" t="s">
        <v>174</v>
      </c>
      <c r="D15" s="30">
        <f t="shared" si="0"/>
        <v>8945</v>
      </c>
      <c r="E15" s="30">
        <f t="shared" si="1"/>
        <v>1490.8333333333333</v>
      </c>
      <c r="F15" s="30">
        <f t="shared" si="2"/>
        <v>55.906249999999993</v>
      </c>
      <c r="G15" s="30">
        <f t="shared" si="3"/>
        <v>1546.7395833333333</v>
      </c>
      <c r="H15" s="1"/>
      <c r="I15" s="1"/>
    </row>
    <row r="16" spans="1:12" x14ac:dyDescent="0.2">
      <c r="A16" s="8">
        <v>10</v>
      </c>
      <c r="B16" s="18" t="str">
        <f t="shared" si="4"/>
        <v>LG</v>
      </c>
      <c r="C16" s="7" t="s">
        <v>175</v>
      </c>
      <c r="D16" s="30">
        <f t="shared" si="0"/>
        <v>3700</v>
      </c>
      <c r="E16" s="30">
        <f t="shared" si="1"/>
        <v>308.33333333333331</v>
      </c>
      <c r="F16" s="30">
        <f t="shared" si="2"/>
        <v>13.874999999999998</v>
      </c>
      <c r="G16" s="30">
        <f t="shared" si="3"/>
        <v>322.20833333333331</v>
      </c>
      <c r="H16" s="1"/>
      <c r="I16" s="1"/>
    </row>
    <row r="17" spans="1:10" x14ac:dyDescent="0.2">
      <c r="C17" s="4"/>
      <c r="D17" s="1"/>
      <c r="G17" s="1"/>
      <c r="H17" s="1"/>
      <c r="I17" s="1"/>
      <c r="J17" s="87"/>
    </row>
    <row r="18" spans="1:10" x14ac:dyDescent="0.2">
      <c r="C18" s="4"/>
      <c r="D18" s="1"/>
      <c r="G18" s="1"/>
      <c r="H18" s="1"/>
      <c r="I18" s="1"/>
    </row>
    <row r="19" spans="1:10" x14ac:dyDescent="0.2">
      <c r="A19" s="70"/>
      <c r="B19" s="71" t="s">
        <v>6</v>
      </c>
      <c r="C19" s="72" t="s">
        <v>163</v>
      </c>
      <c r="D19" s="1"/>
      <c r="G19" s="1"/>
      <c r="H19" s="1"/>
      <c r="I19" s="1"/>
    </row>
    <row r="20" spans="1:10" x14ac:dyDescent="0.2">
      <c r="A20" s="70" t="s">
        <v>172</v>
      </c>
      <c r="B20" s="134">
        <f>COUNTIF(C7:C16,C11)</f>
        <v>2</v>
      </c>
      <c r="C20" s="137">
        <f>SUMIF($C$7:$C$16,A20,$G$7:$G$16)</f>
        <v>11330</v>
      </c>
      <c r="D20" s="1"/>
      <c r="G20" s="1"/>
      <c r="H20" s="1"/>
      <c r="I20" s="1"/>
    </row>
    <row r="21" spans="1:10" x14ac:dyDescent="0.2">
      <c r="A21" s="70" t="s">
        <v>173</v>
      </c>
      <c r="B21" s="134">
        <f t="shared" ref="B21:B23" si="5">COUNTIF(C8:C17,C12)</f>
        <v>3</v>
      </c>
      <c r="C21" s="137">
        <f t="shared" ref="C21:C23" si="6">SUMIF($C$7:$C$16,A21,$G$7:$G$16)</f>
        <v>7417.5833333333339</v>
      </c>
      <c r="D21" s="1"/>
      <c r="G21" s="1"/>
      <c r="H21" s="1"/>
      <c r="I21" s="1"/>
    </row>
    <row r="22" spans="1:10" x14ac:dyDescent="0.2">
      <c r="A22" s="70" t="s">
        <v>174</v>
      </c>
      <c r="B22" s="134">
        <f t="shared" si="5"/>
        <v>2</v>
      </c>
      <c r="C22" s="137">
        <f t="shared" si="6"/>
        <v>3001.833333333333</v>
      </c>
      <c r="D22" s="1"/>
      <c r="G22" s="1"/>
      <c r="H22" s="1"/>
      <c r="I22" s="1"/>
    </row>
    <row r="23" spans="1:10" x14ac:dyDescent="0.2">
      <c r="A23" s="70" t="s">
        <v>175</v>
      </c>
      <c r="B23" s="134">
        <f t="shared" si="5"/>
        <v>2</v>
      </c>
      <c r="C23" s="137">
        <f t="shared" si="6"/>
        <v>748.04583333333335</v>
      </c>
      <c r="D23" s="1"/>
      <c r="G23" s="1"/>
      <c r="H23" s="1"/>
      <c r="I23" s="1"/>
    </row>
    <row r="26" spans="1:10" x14ac:dyDescent="0.2">
      <c r="A26" s="70" t="s">
        <v>60</v>
      </c>
      <c r="B26" s="70" t="s">
        <v>61</v>
      </c>
      <c r="C26" s="70" t="s">
        <v>63</v>
      </c>
      <c r="E26" s="70" t="s">
        <v>62</v>
      </c>
      <c r="F26" s="8" t="s">
        <v>172</v>
      </c>
      <c r="G26" s="8" t="s">
        <v>173</v>
      </c>
      <c r="H26" s="8" t="s">
        <v>174</v>
      </c>
      <c r="I26" s="8" t="s">
        <v>175</v>
      </c>
    </row>
    <row r="27" spans="1:10" x14ac:dyDescent="0.2">
      <c r="A27" s="8">
        <v>1</v>
      </c>
      <c r="B27" s="8" t="s">
        <v>146</v>
      </c>
      <c r="C27" s="10">
        <v>7120</v>
      </c>
      <c r="E27" s="70" t="s">
        <v>71</v>
      </c>
      <c r="F27" s="8">
        <v>1</v>
      </c>
      <c r="G27" s="8">
        <v>3</v>
      </c>
      <c r="H27" s="8">
        <v>6</v>
      </c>
      <c r="I27" s="8">
        <v>12</v>
      </c>
    </row>
    <row r="28" spans="1:10" x14ac:dyDescent="0.2">
      <c r="A28" s="8">
        <v>8</v>
      </c>
      <c r="B28" s="8" t="s">
        <v>70</v>
      </c>
      <c r="C28" s="10">
        <v>5645</v>
      </c>
      <c r="E28" s="70" t="s">
        <v>177</v>
      </c>
      <c r="F28" s="9">
        <v>0</v>
      </c>
      <c r="G28" s="9">
        <v>2.5000000000000001E-2</v>
      </c>
      <c r="H28" s="9">
        <v>3.7499999999999999E-2</v>
      </c>
      <c r="I28" s="9">
        <v>4.4999999999999998E-2</v>
      </c>
    </row>
    <row r="29" spans="1:10" x14ac:dyDescent="0.2">
      <c r="A29" s="8">
        <v>3</v>
      </c>
      <c r="B29" s="8" t="s">
        <v>65</v>
      </c>
      <c r="C29" s="10">
        <v>3525</v>
      </c>
    </row>
    <row r="30" spans="1:10" x14ac:dyDescent="0.2">
      <c r="A30" s="8">
        <v>4</v>
      </c>
      <c r="B30" s="8" t="s">
        <v>66</v>
      </c>
      <c r="C30" s="10">
        <v>2600</v>
      </c>
    </row>
    <row r="31" spans="1:10" x14ac:dyDescent="0.2">
      <c r="A31" s="8">
        <v>2</v>
      </c>
      <c r="B31" s="8" t="s">
        <v>64</v>
      </c>
      <c r="C31" s="10">
        <v>4890</v>
      </c>
    </row>
    <row r="32" spans="1:10" x14ac:dyDescent="0.2">
      <c r="A32" s="8">
        <v>9</v>
      </c>
      <c r="B32" s="8" t="s">
        <v>169</v>
      </c>
      <c r="C32" s="10">
        <v>8945</v>
      </c>
    </row>
    <row r="33" spans="1:3" x14ac:dyDescent="0.2">
      <c r="A33" s="8">
        <v>6</v>
      </c>
      <c r="B33" s="8" t="s">
        <v>68</v>
      </c>
      <c r="C33" s="10">
        <v>5500</v>
      </c>
    </row>
    <row r="34" spans="1:3" x14ac:dyDescent="0.2">
      <c r="A34" s="8">
        <v>5</v>
      </c>
      <c r="B34" s="8" t="s">
        <v>67</v>
      </c>
      <c r="C34" s="10">
        <v>4800</v>
      </c>
    </row>
    <row r="35" spans="1:3" x14ac:dyDescent="0.2">
      <c r="A35" s="8">
        <v>10</v>
      </c>
      <c r="B35" s="8" t="s">
        <v>168</v>
      </c>
      <c r="C35" s="10">
        <v>3700</v>
      </c>
    </row>
    <row r="36" spans="1:3" x14ac:dyDescent="0.2">
      <c r="A36" s="8">
        <v>7</v>
      </c>
      <c r="B36" s="8" t="s">
        <v>69</v>
      </c>
      <c r="C36" s="10">
        <v>6530</v>
      </c>
    </row>
    <row r="100" spans="1:1" x14ac:dyDescent="0.2">
      <c r="A100" s="22">
        <v>41730</v>
      </c>
    </row>
    <row r="1000" spans="1:1" x14ac:dyDescent="0.2">
      <c r="A1000" t="s">
        <v>145</v>
      </c>
    </row>
  </sheetData>
  <sortState ref="A25:C34">
    <sortCondition ref="B12:B21"/>
    <sortCondition ref="C12:C21"/>
  </sortState>
  <mergeCells count="3">
    <mergeCell ref="A1:C1"/>
    <mergeCell ref="A2:G3"/>
    <mergeCell ref="A5:G5"/>
  </mergeCells>
  <phoneticPr fontId="2" type="noConversion"/>
  <dataValidations count="3">
    <dataValidation type="whole" allowBlank="1" showInputMessage="1" showErrorMessage="1" error="solamente numeros del 1 al 50 inclusive" prompt="del 1 al 50" sqref="A6:A16">
      <formula1>1</formula1>
      <formula2>50</formula2>
    </dataValidation>
    <dataValidation type="textLength" errorStyle="warning" allowBlank="1" showInputMessage="1" showErrorMessage="1" error="permite 20 caracteres" prompt="ingrese producto" sqref="B7:B16">
      <formula1>1</formula1>
      <formula2>20</formula2>
    </dataValidation>
    <dataValidation type="list" allowBlank="1" showInputMessage="1" showErrorMessage="1" error="no valido, elija un tipo de plan" prompt="elija una tipo de plan de la lista" sqref="C7:C16">
      <formula1>$F$26:$I$26</formula1>
    </dataValidation>
  </dataValidations>
  <pageMargins left="0.75" right="0.75" top="1" bottom="1" header="0" footer="0"/>
  <pageSetup orientation="portrait" horizontalDpi="200" verticalDpi="200" copies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J1000"/>
  <sheetViews>
    <sheetView topLeftCell="A13" workbookViewId="0">
      <selection activeCell="F2" sqref="F2"/>
    </sheetView>
  </sheetViews>
  <sheetFormatPr baseColWidth="10" defaultRowHeight="12.75" x14ac:dyDescent="0.2"/>
  <cols>
    <col min="1" max="1" width="16.42578125" bestFit="1" customWidth="1"/>
    <col min="2" max="2" width="10" customWidth="1"/>
    <col min="3" max="3" width="10.85546875" bestFit="1" customWidth="1"/>
    <col min="4" max="4" width="9.28515625" bestFit="1" customWidth="1"/>
    <col min="5" max="6" width="9.7109375" customWidth="1"/>
  </cols>
  <sheetData>
    <row r="1" spans="1:10" ht="48.75" customHeight="1" x14ac:dyDescent="0.25">
      <c r="A1" s="155" t="s">
        <v>239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25.5" x14ac:dyDescent="0.2">
      <c r="A2" s="46" t="s">
        <v>72</v>
      </c>
      <c r="B2" s="46" t="s">
        <v>73</v>
      </c>
      <c r="C2" s="46" t="s">
        <v>74</v>
      </c>
      <c r="D2" s="67" t="s">
        <v>232</v>
      </c>
      <c r="E2" s="67" t="s">
        <v>233</v>
      </c>
      <c r="F2" s="127" t="s">
        <v>234</v>
      </c>
      <c r="G2" s="67" t="s">
        <v>235</v>
      </c>
      <c r="H2" s="67" t="s">
        <v>236</v>
      </c>
      <c r="I2" s="67" t="s">
        <v>237</v>
      </c>
      <c r="J2" s="67" t="s">
        <v>238</v>
      </c>
    </row>
    <row r="3" spans="1:10" ht="15" customHeight="1" x14ac:dyDescent="0.2">
      <c r="A3" s="73" t="s">
        <v>178</v>
      </c>
      <c r="B3" s="74" t="s">
        <v>88</v>
      </c>
      <c r="C3" s="116">
        <f>HLOOKUP(B3,$B$24:$H$25,2,FALSE)</f>
        <v>2500</v>
      </c>
      <c r="D3" s="116">
        <f>HLOOKUP(B3,$B$24:$H$26,3,FALSE)</f>
        <v>170</v>
      </c>
      <c r="E3" s="116">
        <f>C3*$A$21</f>
        <v>212.50000000000003</v>
      </c>
      <c r="F3" s="126">
        <v>8</v>
      </c>
      <c r="G3" s="116">
        <f>IF(F3&gt;8,(F3-8)*$C$17,0)</f>
        <v>0</v>
      </c>
      <c r="H3" s="117" t="s">
        <v>80</v>
      </c>
      <c r="I3" s="116">
        <f>IF(H3="S",C3*$F$16,IF(H3="N",C3*$F$17,""))</f>
        <v>1000</v>
      </c>
      <c r="J3" s="116">
        <f>SUM(C3,D3,E3,G3-I3)</f>
        <v>1882.5</v>
      </c>
    </row>
    <row r="4" spans="1:10" x14ac:dyDescent="0.2">
      <c r="A4" s="73" t="s">
        <v>179</v>
      </c>
      <c r="B4" s="74" t="s">
        <v>79</v>
      </c>
      <c r="C4" s="116">
        <f t="shared" ref="C4:C12" si="0">HLOOKUP(B4,$B$24:$H$25,2,FALSE)</f>
        <v>1300</v>
      </c>
      <c r="D4" s="116">
        <f t="shared" ref="D4:D12" si="1">HLOOKUP(B4,$B$24:$H$26,3,FALSE)</f>
        <v>140</v>
      </c>
      <c r="E4" s="116">
        <f t="shared" ref="E4:E12" si="2">C4*$A$21</f>
        <v>110.50000000000001</v>
      </c>
      <c r="F4" s="126">
        <v>4</v>
      </c>
      <c r="G4" s="116">
        <f t="shared" ref="G4:G12" si="3">IF(F4&gt;8,(F4-8)*$C$17,0)</f>
        <v>0</v>
      </c>
      <c r="H4" s="117" t="s">
        <v>80</v>
      </c>
      <c r="I4" s="116">
        <f t="shared" ref="I4:I12" si="4">IF(H4="S",C4*$F$16,IF(H4="N",C4*$F$17,""))</f>
        <v>520</v>
      </c>
      <c r="J4" s="116">
        <f t="shared" ref="J4:J12" si="5">SUM(C4,D4,E4,G4-I4)</f>
        <v>1030.5</v>
      </c>
    </row>
    <row r="5" spans="1:10" x14ac:dyDescent="0.2">
      <c r="A5" s="73" t="s">
        <v>180</v>
      </c>
      <c r="B5" s="74" t="s">
        <v>86</v>
      </c>
      <c r="C5" s="116">
        <f t="shared" si="0"/>
        <v>980</v>
      </c>
      <c r="D5" s="116">
        <f t="shared" si="1"/>
        <v>120</v>
      </c>
      <c r="E5" s="116">
        <f t="shared" si="2"/>
        <v>83.300000000000011</v>
      </c>
      <c r="F5" s="126">
        <v>12</v>
      </c>
      <c r="G5" s="116">
        <f t="shared" si="3"/>
        <v>96</v>
      </c>
      <c r="H5" s="117" t="s">
        <v>80</v>
      </c>
      <c r="I5" s="116">
        <f t="shared" si="4"/>
        <v>392</v>
      </c>
      <c r="J5" s="116">
        <f t="shared" si="5"/>
        <v>887.3</v>
      </c>
    </row>
    <row r="6" spans="1:10" x14ac:dyDescent="0.2">
      <c r="A6" s="73" t="s">
        <v>181</v>
      </c>
      <c r="B6" s="74" t="s">
        <v>78</v>
      </c>
      <c r="C6" s="116">
        <f t="shared" si="0"/>
        <v>1800</v>
      </c>
      <c r="D6" s="116">
        <f t="shared" si="1"/>
        <v>150</v>
      </c>
      <c r="E6" s="116">
        <f t="shared" si="2"/>
        <v>153</v>
      </c>
      <c r="F6" s="126">
        <v>20</v>
      </c>
      <c r="G6" s="116">
        <f t="shared" si="3"/>
        <v>288</v>
      </c>
      <c r="H6" s="117" t="s">
        <v>80</v>
      </c>
      <c r="I6" s="116">
        <f t="shared" si="4"/>
        <v>720</v>
      </c>
      <c r="J6" s="116">
        <f t="shared" si="5"/>
        <v>1671</v>
      </c>
    </row>
    <row r="7" spans="1:10" x14ac:dyDescent="0.2">
      <c r="A7" s="73" t="s">
        <v>182</v>
      </c>
      <c r="B7" s="74" t="s">
        <v>79</v>
      </c>
      <c r="C7" s="116">
        <f t="shared" si="0"/>
        <v>1300</v>
      </c>
      <c r="D7" s="116">
        <f t="shared" si="1"/>
        <v>140</v>
      </c>
      <c r="E7" s="116">
        <f t="shared" si="2"/>
        <v>110.50000000000001</v>
      </c>
      <c r="F7" s="126">
        <v>10</v>
      </c>
      <c r="G7" s="116">
        <f t="shared" si="3"/>
        <v>48</v>
      </c>
      <c r="H7" s="117" t="s">
        <v>81</v>
      </c>
      <c r="I7" s="116">
        <f t="shared" si="4"/>
        <v>0</v>
      </c>
      <c r="J7" s="116">
        <f t="shared" si="5"/>
        <v>1598.5</v>
      </c>
    </row>
    <row r="8" spans="1:10" x14ac:dyDescent="0.2">
      <c r="A8" s="73" t="s">
        <v>183</v>
      </c>
      <c r="B8" s="74" t="s">
        <v>78</v>
      </c>
      <c r="C8" s="116">
        <f t="shared" si="0"/>
        <v>1800</v>
      </c>
      <c r="D8" s="116">
        <f t="shared" si="1"/>
        <v>150</v>
      </c>
      <c r="E8" s="116">
        <f t="shared" si="2"/>
        <v>153</v>
      </c>
      <c r="F8" s="126">
        <v>6</v>
      </c>
      <c r="G8" s="116">
        <f t="shared" si="3"/>
        <v>0</v>
      </c>
      <c r="H8" s="117" t="s">
        <v>80</v>
      </c>
      <c r="I8" s="116">
        <f t="shared" si="4"/>
        <v>720</v>
      </c>
      <c r="J8" s="116">
        <f t="shared" si="5"/>
        <v>1383</v>
      </c>
    </row>
    <row r="9" spans="1:10" x14ac:dyDescent="0.2">
      <c r="A9" s="73" t="s">
        <v>184</v>
      </c>
      <c r="B9" s="74" t="s">
        <v>76</v>
      </c>
      <c r="C9" s="116">
        <f t="shared" si="0"/>
        <v>1050</v>
      </c>
      <c r="D9" s="116">
        <f t="shared" si="1"/>
        <v>130</v>
      </c>
      <c r="E9" s="116">
        <f t="shared" si="2"/>
        <v>89.25</v>
      </c>
      <c r="F9" s="126">
        <v>9</v>
      </c>
      <c r="G9" s="116">
        <f t="shared" si="3"/>
        <v>24</v>
      </c>
      <c r="H9" s="117" t="s">
        <v>81</v>
      </c>
      <c r="I9" s="116">
        <f t="shared" si="4"/>
        <v>0</v>
      </c>
      <c r="J9" s="116">
        <f t="shared" si="5"/>
        <v>1293.25</v>
      </c>
    </row>
    <row r="10" spans="1:10" x14ac:dyDescent="0.2">
      <c r="A10" s="73" t="s">
        <v>185</v>
      </c>
      <c r="B10" s="74" t="s">
        <v>77</v>
      </c>
      <c r="C10" s="116">
        <f t="shared" si="0"/>
        <v>1400</v>
      </c>
      <c r="D10" s="116">
        <f t="shared" si="1"/>
        <v>130</v>
      </c>
      <c r="E10" s="116">
        <f t="shared" si="2"/>
        <v>119.00000000000001</v>
      </c>
      <c r="F10" s="126">
        <v>27</v>
      </c>
      <c r="G10" s="116">
        <f t="shared" si="3"/>
        <v>456</v>
      </c>
      <c r="H10" s="117" t="s">
        <v>81</v>
      </c>
      <c r="I10" s="116">
        <f t="shared" si="4"/>
        <v>0</v>
      </c>
      <c r="J10" s="116">
        <f t="shared" si="5"/>
        <v>2105</v>
      </c>
    </row>
    <row r="11" spans="1:10" x14ac:dyDescent="0.2">
      <c r="A11" s="73" t="s">
        <v>186</v>
      </c>
      <c r="B11" s="74" t="s">
        <v>79</v>
      </c>
      <c r="C11" s="116">
        <f t="shared" si="0"/>
        <v>1300</v>
      </c>
      <c r="D11" s="116">
        <f t="shared" si="1"/>
        <v>140</v>
      </c>
      <c r="E11" s="116">
        <f t="shared" si="2"/>
        <v>110.50000000000001</v>
      </c>
      <c r="F11" s="126">
        <v>30</v>
      </c>
      <c r="G11" s="116">
        <f t="shared" si="3"/>
        <v>528</v>
      </c>
      <c r="H11" s="117" t="s">
        <v>81</v>
      </c>
      <c r="I11" s="116">
        <f t="shared" si="4"/>
        <v>0</v>
      </c>
      <c r="J11" s="116">
        <f t="shared" si="5"/>
        <v>2078.5</v>
      </c>
    </row>
    <row r="12" spans="1:10" x14ac:dyDescent="0.2">
      <c r="A12" s="73" t="s">
        <v>187</v>
      </c>
      <c r="B12" s="74" t="s">
        <v>255</v>
      </c>
      <c r="C12" s="116">
        <f t="shared" si="0"/>
        <v>1800</v>
      </c>
      <c r="D12" s="116">
        <f t="shared" si="1"/>
        <v>150</v>
      </c>
      <c r="E12" s="116">
        <f t="shared" si="2"/>
        <v>153</v>
      </c>
      <c r="F12" s="126">
        <v>12</v>
      </c>
      <c r="G12" s="116">
        <f t="shared" si="3"/>
        <v>96</v>
      </c>
      <c r="H12" s="117" t="s">
        <v>81</v>
      </c>
      <c r="I12" s="116">
        <f t="shared" si="4"/>
        <v>0</v>
      </c>
      <c r="J12" s="116">
        <f t="shared" si="5"/>
        <v>2199</v>
      </c>
    </row>
    <row r="13" spans="1:10" x14ac:dyDescent="0.2"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"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">
      <c r="A15" s="152" t="s">
        <v>82</v>
      </c>
      <c r="B15" s="152"/>
      <c r="C15" s="152"/>
      <c r="D15" s="6"/>
      <c r="E15" s="153" t="s">
        <v>84</v>
      </c>
      <c r="F15" s="154"/>
      <c r="G15" s="6"/>
      <c r="H15" s="19"/>
      <c r="I15" s="20"/>
      <c r="J15" s="19"/>
    </row>
    <row r="16" spans="1:10" x14ac:dyDescent="0.2">
      <c r="A16" s="75" t="s">
        <v>219</v>
      </c>
      <c r="B16" s="8">
        <v>8</v>
      </c>
      <c r="C16" s="11">
        <v>0</v>
      </c>
      <c r="E16" s="76" t="s">
        <v>80</v>
      </c>
      <c r="F16" s="7">
        <v>0.4</v>
      </c>
      <c r="H16" s="15"/>
      <c r="I16" s="21"/>
      <c r="J16" s="21"/>
    </row>
    <row r="17" spans="1:10" x14ac:dyDescent="0.2">
      <c r="A17" s="75" t="s">
        <v>83</v>
      </c>
      <c r="B17" s="8"/>
      <c r="C17" s="11">
        <v>24</v>
      </c>
      <c r="E17" s="76" t="s">
        <v>81</v>
      </c>
      <c r="F17" s="7">
        <v>0</v>
      </c>
      <c r="H17" s="15"/>
      <c r="I17" s="21"/>
      <c r="J17" s="21"/>
    </row>
    <row r="18" spans="1:10" x14ac:dyDescent="0.2">
      <c r="H18" s="15"/>
      <c r="I18" s="21"/>
      <c r="J18" s="21"/>
    </row>
    <row r="19" spans="1:10" x14ac:dyDescent="0.2">
      <c r="H19" s="15"/>
      <c r="I19" s="21"/>
      <c r="J19" s="21"/>
    </row>
    <row r="20" spans="1:10" x14ac:dyDescent="0.2">
      <c r="A20" s="77" t="s">
        <v>85</v>
      </c>
      <c r="H20" s="15"/>
      <c r="I20" s="21"/>
      <c r="J20" s="21"/>
    </row>
    <row r="21" spans="1:10" x14ac:dyDescent="0.2">
      <c r="A21" s="17">
        <v>8.5000000000000006E-2</v>
      </c>
      <c r="H21" s="15"/>
      <c r="I21" s="21"/>
      <c r="J21" s="21"/>
    </row>
    <row r="22" spans="1:10" x14ac:dyDescent="0.2">
      <c r="H22" s="15"/>
      <c r="I22" s="21"/>
      <c r="J22" s="21"/>
    </row>
    <row r="24" spans="1:10" x14ac:dyDescent="0.2">
      <c r="A24" s="78" t="s">
        <v>73</v>
      </c>
      <c r="B24" s="76" t="s">
        <v>78</v>
      </c>
      <c r="C24" s="76" t="s">
        <v>77</v>
      </c>
      <c r="D24" s="76" t="s">
        <v>76</v>
      </c>
      <c r="E24" s="76" t="s">
        <v>79</v>
      </c>
      <c r="F24" s="76" t="s">
        <v>86</v>
      </c>
      <c r="G24" s="76" t="s">
        <v>87</v>
      </c>
      <c r="H24" s="76" t="s">
        <v>88</v>
      </c>
    </row>
    <row r="25" spans="1:10" x14ac:dyDescent="0.2">
      <c r="A25" s="78" t="s">
        <v>74</v>
      </c>
      <c r="B25" s="12">
        <v>1800</v>
      </c>
      <c r="C25" s="12">
        <v>1400</v>
      </c>
      <c r="D25" s="12">
        <v>1050</v>
      </c>
      <c r="E25" s="12">
        <v>1300</v>
      </c>
      <c r="F25" s="12">
        <v>980</v>
      </c>
      <c r="G25" s="12">
        <v>1750</v>
      </c>
      <c r="H25" s="12">
        <v>2500</v>
      </c>
    </row>
    <row r="26" spans="1:10" x14ac:dyDescent="0.2">
      <c r="A26" s="78" t="s">
        <v>75</v>
      </c>
      <c r="B26" s="12">
        <v>150</v>
      </c>
      <c r="C26" s="12">
        <v>130</v>
      </c>
      <c r="D26" s="12">
        <v>130</v>
      </c>
      <c r="E26" s="12">
        <v>140</v>
      </c>
      <c r="F26" s="12">
        <v>120</v>
      </c>
      <c r="G26" s="12">
        <v>150</v>
      </c>
      <c r="H26" s="12">
        <v>170</v>
      </c>
    </row>
    <row r="100" spans="1:1" x14ac:dyDescent="0.2">
      <c r="A100" s="22">
        <v>41730</v>
      </c>
    </row>
    <row r="1000" spans="1:1" x14ac:dyDescent="0.2">
      <c r="A1000" t="s">
        <v>145</v>
      </c>
    </row>
  </sheetData>
  <mergeCells count="3">
    <mergeCell ref="A15:C15"/>
    <mergeCell ref="E15:F15"/>
    <mergeCell ref="A1:J1"/>
  </mergeCells>
  <phoneticPr fontId="2" type="noConversion"/>
  <dataValidations count="1">
    <dataValidation type="list" allowBlank="1" showInputMessage="1" showErrorMessage="1" error="la empresa no llega a ese destino, seleccione uno de la lista de opciones." prompt="Elija uno de nuestros destinos" sqref="B3:B12">
      <formula1>"BARILOCHE, CÓRDOBA, MARDEL, MENDOZA, ROSARIO, TUCUMÁN,USHUAIA"</formula1>
    </dataValidation>
  </dataValidations>
  <pageMargins left="0.75" right="0.75" top="1" bottom="1" header="0" footer="0"/>
  <pageSetup orientation="portrait" horizontalDpi="200" verticalDpi="200" copies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3:L100"/>
  <sheetViews>
    <sheetView topLeftCell="C31" workbookViewId="0">
      <selection activeCell="G8" sqref="G8"/>
    </sheetView>
  </sheetViews>
  <sheetFormatPr baseColWidth="10" defaultRowHeight="12.75" x14ac:dyDescent="0.2"/>
  <cols>
    <col min="1" max="1" width="8.7109375" customWidth="1"/>
    <col min="2" max="2" width="18.28515625" customWidth="1"/>
    <col min="3" max="3" width="11.85546875" bestFit="1" customWidth="1"/>
    <col min="5" max="5" width="14.5703125" bestFit="1" customWidth="1"/>
    <col min="6" max="6" width="13.140625" customWidth="1"/>
  </cols>
  <sheetData>
    <row r="3" spans="1:12" ht="18.75" x14ac:dyDescent="0.3">
      <c r="A3" s="162" t="s">
        <v>89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2" x14ac:dyDescent="0.2">
      <c r="A4" s="163" t="s">
        <v>90</v>
      </c>
      <c r="B4" s="163"/>
    </row>
    <row r="6" spans="1:12" x14ac:dyDescent="0.2">
      <c r="A6" s="115" t="s">
        <v>91</v>
      </c>
      <c r="B6" s="118">
        <f ca="1">NOW()</f>
        <v>42308.74213564815</v>
      </c>
    </row>
    <row r="7" spans="1:12" ht="13.5" thickBot="1" x14ac:dyDescent="0.25"/>
    <row r="8" spans="1:12" ht="39" thickBot="1" x14ac:dyDescent="0.25">
      <c r="A8" s="103" t="s">
        <v>92</v>
      </c>
      <c r="B8" s="104" t="s">
        <v>93</v>
      </c>
      <c r="C8" s="104" t="s">
        <v>94</v>
      </c>
      <c r="D8" s="104" t="s">
        <v>95</v>
      </c>
      <c r="E8" s="104" t="s">
        <v>144</v>
      </c>
      <c r="F8" s="104" t="s">
        <v>96</v>
      </c>
      <c r="G8" s="104" t="s">
        <v>97</v>
      </c>
      <c r="H8" s="104" t="s">
        <v>98</v>
      </c>
      <c r="I8" s="104" t="s">
        <v>99</v>
      </c>
      <c r="J8" s="104" t="s">
        <v>100</v>
      </c>
      <c r="K8" s="105" t="s">
        <v>101</v>
      </c>
      <c r="L8" s="96"/>
    </row>
    <row r="9" spans="1:12" x14ac:dyDescent="0.2">
      <c r="A9" s="97">
        <v>2150</v>
      </c>
      <c r="B9" s="15" t="s">
        <v>140</v>
      </c>
      <c r="C9" s="15" t="s">
        <v>141</v>
      </c>
      <c r="D9" s="98">
        <v>33106</v>
      </c>
      <c r="E9" s="15" t="s">
        <v>137</v>
      </c>
      <c r="F9" s="119">
        <f>VLOOKUP(E9,$E$33:$F$39,2,FALSE)</f>
        <v>21500</v>
      </c>
      <c r="G9" s="125">
        <f ca="1">DATEDIF(D9,$B$6,"Y")</f>
        <v>25</v>
      </c>
      <c r="H9" s="164">
        <f ca="1">HLOOKUP(G9,$F$42:$J$43,2,TRUE)*F9</f>
        <v>4300</v>
      </c>
      <c r="I9" s="120" t="s">
        <v>80</v>
      </c>
      <c r="J9" s="129">
        <f ca="1">IF(AND(I9="S",G9&gt;3),F9*5%,"-")</f>
        <v>1075</v>
      </c>
      <c r="K9" s="121">
        <f ca="1">SUM(F9,H9,J9)</f>
        <v>26875</v>
      </c>
    </row>
    <row r="10" spans="1:12" x14ac:dyDescent="0.2">
      <c r="A10" s="97">
        <v>1400</v>
      </c>
      <c r="B10" s="15" t="s">
        <v>107</v>
      </c>
      <c r="C10" s="15" t="s">
        <v>108</v>
      </c>
      <c r="D10" s="98">
        <v>31422</v>
      </c>
      <c r="E10" s="15" t="s">
        <v>109</v>
      </c>
      <c r="F10" s="119">
        <f t="shared" ref="F10:F25" si="0">VLOOKUP(E10,$E$33:$F$39,2,FALSE)</f>
        <v>21100</v>
      </c>
      <c r="G10" s="125">
        <f t="shared" ref="G10:G25" ca="1" si="1">DATEDIF(D10,$B$6,"Y")</f>
        <v>29</v>
      </c>
      <c r="H10" s="164">
        <f t="shared" ref="H10:H25" ca="1" si="2">HLOOKUP(G10,$F$42:$J$43,2,TRUE)*F10</f>
        <v>4220</v>
      </c>
      <c r="I10" s="120" t="s">
        <v>80</v>
      </c>
      <c r="J10" s="129">
        <f t="shared" ref="J10:J25" ca="1" si="3">IF(AND(I10="S",G10&gt;3),F10*5%,"-")</f>
        <v>1055</v>
      </c>
      <c r="K10" s="121">
        <f t="shared" ref="K10:K25" ca="1" si="4">SUM(F10,H10,J10)</f>
        <v>26375</v>
      </c>
    </row>
    <row r="11" spans="1:12" x14ac:dyDescent="0.2">
      <c r="A11" s="97">
        <v>1790</v>
      </c>
      <c r="B11" s="15" t="s">
        <v>126</v>
      </c>
      <c r="C11" s="15" t="s">
        <v>127</v>
      </c>
      <c r="D11" s="98">
        <v>33490</v>
      </c>
      <c r="E11" s="15" t="s">
        <v>114</v>
      </c>
      <c r="F11" s="119">
        <f t="shared" si="0"/>
        <v>15950</v>
      </c>
      <c r="G11" s="125">
        <f t="shared" ca="1" si="1"/>
        <v>24</v>
      </c>
      <c r="H11" s="164">
        <f t="shared" ca="1" si="2"/>
        <v>3190</v>
      </c>
      <c r="I11" s="120" t="s">
        <v>80</v>
      </c>
      <c r="J11" s="129">
        <f t="shared" ca="1" si="3"/>
        <v>797.5</v>
      </c>
      <c r="K11" s="121">
        <f t="shared" ca="1" si="4"/>
        <v>19937.5</v>
      </c>
    </row>
    <row r="12" spans="1:12" x14ac:dyDescent="0.2">
      <c r="A12" s="97">
        <v>1450</v>
      </c>
      <c r="B12" s="15" t="s">
        <v>112</v>
      </c>
      <c r="C12" s="15" t="s">
        <v>113</v>
      </c>
      <c r="D12" s="98">
        <v>33098</v>
      </c>
      <c r="E12" s="15" t="s">
        <v>114</v>
      </c>
      <c r="F12" s="119">
        <f t="shared" si="0"/>
        <v>15950</v>
      </c>
      <c r="G12" s="125">
        <f t="shared" ca="1" si="1"/>
        <v>25</v>
      </c>
      <c r="H12" s="164">
        <f t="shared" ca="1" si="2"/>
        <v>3190</v>
      </c>
      <c r="I12" s="120" t="s">
        <v>81</v>
      </c>
      <c r="J12" s="129" t="str">
        <f t="shared" ca="1" si="3"/>
        <v>-</v>
      </c>
      <c r="K12" s="121">
        <f t="shared" ca="1" si="4"/>
        <v>19140</v>
      </c>
    </row>
    <row r="13" spans="1:12" x14ac:dyDescent="0.2">
      <c r="A13" s="97">
        <v>1550</v>
      </c>
      <c r="B13" s="15" t="s">
        <v>120</v>
      </c>
      <c r="C13" s="15" t="s">
        <v>121</v>
      </c>
      <c r="D13" s="98">
        <v>36863</v>
      </c>
      <c r="E13" s="15" t="s">
        <v>109</v>
      </c>
      <c r="F13" s="119">
        <f t="shared" si="0"/>
        <v>21100</v>
      </c>
      <c r="G13" s="125">
        <f t="shared" ca="1" si="1"/>
        <v>14</v>
      </c>
      <c r="H13" s="164">
        <f t="shared" ca="1" si="2"/>
        <v>3165</v>
      </c>
      <c r="I13" s="120" t="s">
        <v>81</v>
      </c>
      <c r="J13" s="129" t="str">
        <f t="shared" ca="1" si="3"/>
        <v>-</v>
      </c>
      <c r="K13" s="121">
        <f t="shared" ca="1" si="4"/>
        <v>24265</v>
      </c>
    </row>
    <row r="14" spans="1:12" x14ac:dyDescent="0.2">
      <c r="A14" s="97">
        <v>2030</v>
      </c>
      <c r="B14" s="15" t="s">
        <v>138</v>
      </c>
      <c r="C14" s="15" t="s">
        <v>139</v>
      </c>
      <c r="D14" s="98">
        <v>33770</v>
      </c>
      <c r="E14" s="15" t="s">
        <v>130</v>
      </c>
      <c r="F14" s="119">
        <f t="shared" si="0"/>
        <v>14780</v>
      </c>
      <c r="G14" s="125">
        <f t="shared" ca="1" si="1"/>
        <v>23</v>
      </c>
      <c r="H14" s="164">
        <f t="shared" ca="1" si="2"/>
        <v>2956</v>
      </c>
      <c r="I14" s="120" t="s">
        <v>81</v>
      </c>
      <c r="J14" s="129" t="str">
        <f t="shared" ca="1" si="3"/>
        <v>-</v>
      </c>
      <c r="K14" s="121">
        <f t="shared" ca="1" si="4"/>
        <v>17736</v>
      </c>
    </row>
    <row r="15" spans="1:12" x14ac:dyDescent="0.2">
      <c r="A15" s="97">
        <v>1520</v>
      </c>
      <c r="B15" s="15" t="s">
        <v>117</v>
      </c>
      <c r="C15" s="15" t="s">
        <v>118</v>
      </c>
      <c r="D15" s="98">
        <v>38484</v>
      </c>
      <c r="E15" s="15" t="s">
        <v>119</v>
      </c>
      <c r="F15" s="119">
        <f t="shared" si="0"/>
        <v>18320</v>
      </c>
      <c r="G15" s="125">
        <f t="shared" ca="1" si="1"/>
        <v>10</v>
      </c>
      <c r="H15" s="164">
        <f t="shared" ca="1" si="2"/>
        <v>2748</v>
      </c>
      <c r="I15" s="120" t="s">
        <v>80</v>
      </c>
      <c r="J15" s="129">
        <f t="shared" ca="1" si="3"/>
        <v>916</v>
      </c>
      <c r="K15" s="121">
        <f t="shared" ca="1" si="4"/>
        <v>21984</v>
      </c>
    </row>
    <row r="16" spans="1:12" x14ac:dyDescent="0.2">
      <c r="A16" s="97">
        <v>1730</v>
      </c>
      <c r="B16" s="15" t="s">
        <v>122</v>
      </c>
      <c r="C16" s="15" t="s">
        <v>103</v>
      </c>
      <c r="D16" s="98">
        <v>31575</v>
      </c>
      <c r="E16" s="15" t="s">
        <v>123</v>
      </c>
      <c r="F16" s="119">
        <f t="shared" si="0"/>
        <v>18500</v>
      </c>
      <c r="G16" s="125">
        <f t="shared" ca="1" si="1"/>
        <v>29</v>
      </c>
      <c r="H16" s="164">
        <f t="shared" ca="1" si="2"/>
        <v>3700</v>
      </c>
      <c r="I16" s="120" t="s">
        <v>81</v>
      </c>
      <c r="J16" s="129" t="str">
        <f t="shared" ca="1" si="3"/>
        <v>-</v>
      </c>
      <c r="K16" s="121">
        <f t="shared" ca="1" si="4"/>
        <v>22200</v>
      </c>
    </row>
    <row r="17" spans="1:11" x14ac:dyDescent="0.2">
      <c r="A17" s="97">
        <v>1340</v>
      </c>
      <c r="B17" s="15" t="s">
        <v>102</v>
      </c>
      <c r="C17" s="15" t="s">
        <v>103</v>
      </c>
      <c r="D17" s="98">
        <v>34429</v>
      </c>
      <c r="E17" s="15" t="s">
        <v>104</v>
      </c>
      <c r="F17" s="119">
        <f t="shared" si="0"/>
        <v>42100</v>
      </c>
      <c r="G17" s="125">
        <f t="shared" ca="1" si="1"/>
        <v>21</v>
      </c>
      <c r="H17" s="164">
        <f t="shared" ca="1" si="2"/>
        <v>8420</v>
      </c>
      <c r="I17" s="120" t="s">
        <v>80</v>
      </c>
      <c r="J17" s="129">
        <f t="shared" ca="1" si="3"/>
        <v>2105</v>
      </c>
      <c r="K17" s="121">
        <f t="shared" ca="1" si="4"/>
        <v>52625</v>
      </c>
    </row>
    <row r="18" spans="1:11" x14ac:dyDescent="0.2">
      <c r="A18" s="97">
        <v>1850</v>
      </c>
      <c r="B18" s="15" t="s">
        <v>131</v>
      </c>
      <c r="C18" s="15" t="s">
        <v>132</v>
      </c>
      <c r="D18" s="98">
        <v>28926</v>
      </c>
      <c r="E18" s="15" t="s">
        <v>114</v>
      </c>
      <c r="F18" s="119">
        <f t="shared" si="0"/>
        <v>15950</v>
      </c>
      <c r="G18" s="125">
        <f t="shared" ca="1" si="1"/>
        <v>36</v>
      </c>
      <c r="H18" s="164">
        <f t="shared" ca="1" si="2"/>
        <v>3987.5</v>
      </c>
      <c r="I18" s="120" t="s">
        <v>80</v>
      </c>
      <c r="J18" s="129">
        <f t="shared" ca="1" si="3"/>
        <v>797.5</v>
      </c>
      <c r="K18" s="121">
        <f t="shared" ca="1" si="4"/>
        <v>20735</v>
      </c>
    </row>
    <row r="19" spans="1:11" x14ac:dyDescent="0.2">
      <c r="A19" s="97">
        <v>2000</v>
      </c>
      <c r="B19" s="15" t="s">
        <v>135</v>
      </c>
      <c r="C19" s="15" t="s">
        <v>136</v>
      </c>
      <c r="D19" s="98">
        <v>33700</v>
      </c>
      <c r="E19" s="15" t="s">
        <v>137</v>
      </c>
      <c r="F19" s="119">
        <f t="shared" si="0"/>
        <v>21500</v>
      </c>
      <c r="G19" s="125">
        <f t="shared" ca="1" si="1"/>
        <v>23</v>
      </c>
      <c r="H19" s="164">
        <f t="shared" ca="1" si="2"/>
        <v>4300</v>
      </c>
      <c r="I19" s="120" t="s">
        <v>80</v>
      </c>
      <c r="J19" s="129">
        <f t="shared" ca="1" si="3"/>
        <v>1075</v>
      </c>
      <c r="K19" s="121">
        <f t="shared" ca="1" si="4"/>
        <v>26875</v>
      </c>
    </row>
    <row r="20" spans="1:11" x14ac:dyDescent="0.2">
      <c r="A20" s="97">
        <v>1820</v>
      </c>
      <c r="B20" s="15" t="s">
        <v>128</v>
      </c>
      <c r="C20" s="15" t="s">
        <v>129</v>
      </c>
      <c r="D20" s="98">
        <v>33553</v>
      </c>
      <c r="E20" s="15" t="s">
        <v>130</v>
      </c>
      <c r="F20" s="119">
        <f t="shared" si="0"/>
        <v>14780</v>
      </c>
      <c r="G20" s="125">
        <f t="shared" ca="1" si="1"/>
        <v>23</v>
      </c>
      <c r="H20" s="164">
        <f t="shared" ca="1" si="2"/>
        <v>2956</v>
      </c>
      <c r="I20" s="120" t="s">
        <v>81</v>
      </c>
      <c r="J20" s="129" t="str">
        <f t="shared" ca="1" si="3"/>
        <v>-</v>
      </c>
      <c r="K20" s="121">
        <f t="shared" ca="1" si="4"/>
        <v>17736</v>
      </c>
    </row>
    <row r="21" spans="1:11" x14ac:dyDescent="0.2">
      <c r="A21" s="97">
        <v>1760</v>
      </c>
      <c r="B21" s="15" t="s">
        <v>124</v>
      </c>
      <c r="C21" s="15" t="s">
        <v>125</v>
      </c>
      <c r="D21" s="98">
        <v>40781</v>
      </c>
      <c r="E21" s="15" t="s">
        <v>109</v>
      </c>
      <c r="F21" s="119">
        <f t="shared" si="0"/>
        <v>21100</v>
      </c>
      <c r="G21" s="125">
        <f t="shared" ca="1" si="1"/>
        <v>4</v>
      </c>
      <c r="H21" s="164">
        <f t="shared" ca="1" si="2"/>
        <v>0</v>
      </c>
      <c r="I21" s="120" t="s">
        <v>80</v>
      </c>
      <c r="J21" s="129">
        <f t="shared" ca="1" si="3"/>
        <v>1055</v>
      </c>
      <c r="K21" s="121">
        <f t="shared" ca="1" si="4"/>
        <v>22155</v>
      </c>
    </row>
    <row r="22" spans="1:11" x14ac:dyDescent="0.2">
      <c r="A22" s="97">
        <v>1880</v>
      </c>
      <c r="B22" s="15" t="s">
        <v>133</v>
      </c>
      <c r="C22" s="15" t="s">
        <v>134</v>
      </c>
      <c r="D22" s="98">
        <v>33567</v>
      </c>
      <c r="E22" s="15" t="s">
        <v>130</v>
      </c>
      <c r="F22" s="119">
        <f t="shared" si="0"/>
        <v>14780</v>
      </c>
      <c r="G22" s="125">
        <f t="shared" ca="1" si="1"/>
        <v>23</v>
      </c>
      <c r="H22" s="164">
        <f t="shared" ca="1" si="2"/>
        <v>2956</v>
      </c>
      <c r="I22" s="120" t="s">
        <v>81</v>
      </c>
      <c r="J22" s="129" t="str">
        <f t="shared" ca="1" si="3"/>
        <v>-</v>
      </c>
      <c r="K22" s="121">
        <f t="shared" ca="1" si="4"/>
        <v>17736</v>
      </c>
    </row>
    <row r="23" spans="1:11" x14ac:dyDescent="0.2">
      <c r="A23" s="97">
        <v>1490</v>
      </c>
      <c r="B23" s="15" t="s">
        <v>115</v>
      </c>
      <c r="C23" s="15" t="s">
        <v>116</v>
      </c>
      <c r="D23" s="98">
        <v>40989</v>
      </c>
      <c r="E23" s="15" t="s">
        <v>114</v>
      </c>
      <c r="F23" s="119">
        <f t="shared" si="0"/>
        <v>15950</v>
      </c>
      <c r="G23" s="125">
        <f t="shared" ca="1" si="1"/>
        <v>3</v>
      </c>
      <c r="H23" s="164">
        <f t="shared" ca="1" si="2"/>
        <v>0</v>
      </c>
      <c r="I23" s="120" t="s">
        <v>81</v>
      </c>
      <c r="J23" s="129" t="str">
        <f t="shared" ca="1" si="3"/>
        <v>-</v>
      </c>
      <c r="K23" s="121">
        <f t="shared" ca="1" si="4"/>
        <v>15950</v>
      </c>
    </row>
    <row r="24" spans="1:11" x14ac:dyDescent="0.2">
      <c r="A24" s="97">
        <v>1370</v>
      </c>
      <c r="B24" s="15" t="s">
        <v>105</v>
      </c>
      <c r="C24" s="15" t="s">
        <v>106</v>
      </c>
      <c r="D24" s="98">
        <v>32784</v>
      </c>
      <c r="E24" s="15" t="s">
        <v>104</v>
      </c>
      <c r="F24" s="119">
        <f t="shared" si="0"/>
        <v>42100</v>
      </c>
      <c r="G24" s="125">
        <f t="shared" ca="1" si="1"/>
        <v>26</v>
      </c>
      <c r="H24" s="164">
        <f t="shared" ca="1" si="2"/>
        <v>8420</v>
      </c>
      <c r="I24" s="120" t="s">
        <v>80</v>
      </c>
      <c r="J24" s="129">
        <f t="shared" ca="1" si="3"/>
        <v>2105</v>
      </c>
      <c r="K24" s="121">
        <f t="shared" ca="1" si="4"/>
        <v>52625</v>
      </c>
    </row>
    <row r="25" spans="1:11" ht="13.5" thickBot="1" x14ac:dyDescent="0.25">
      <c r="A25" s="99">
        <v>2001</v>
      </c>
      <c r="B25" s="100" t="s">
        <v>110</v>
      </c>
      <c r="C25" s="100" t="s">
        <v>111</v>
      </c>
      <c r="D25" s="101">
        <v>41289</v>
      </c>
      <c r="E25" s="100" t="s">
        <v>109</v>
      </c>
      <c r="F25" s="122">
        <f t="shared" si="0"/>
        <v>21100</v>
      </c>
      <c r="G25" s="128">
        <f t="shared" ca="1" si="1"/>
        <v>2</v>
      </c>
      <c r="H25" s="164">
        <f t="shared" ca="1" si="2"/>
        <v>0</v>
      </c>
      <c r="I25" s="123" t="s">
        <v>80</v>
      </c>
      <c r="J25" s="130" t="str">
        <f t="shared" ca="1" si="3"/>
        <v>-</v>
      </c>
      <c r="K25" s="124">
        <f t="shared" ca="1" si="4"/>
        <v>21100</v>
      </c>
    </row>
    <row r="26" spans="1:11" ht="13.5" thickBot="1" x14ac:dyDescent="0.25">
      <c r="F26" s="1"/>
      <c r="G26" s="1"/>
      <c r="H26" s="1"/>
      <c r="I26" s="1"/>
      <c r="J26" s="1"/>
      <c r="K26" s="1"/>
    </row>
    <row r="27" spans="1:11" x14ac:dyDescent="0.2">
      <c r="A27" s="156" t="s">
        <v>142</v>
      </c>
      <c r="B27" s="157"/>
      <c r="C27" s="65">
        <f>COUNTA(C9:C25)</f>
        <v>17</v>
      </c>
    </row>
    <row r="28" spans="1:11" x14ac:dyDescent="0.2">
      <c r="A28" s="158" t="s">
        <v>143</v>
      </c>
      <c r="B28" s="159"/>
      <c r="C28" s="102">
        <f>COUNTIF(E9:E25,"ejecutivo")</f>
        <v>2</v>
      </c>
    </row>
    <row r="29" spans="1:11" x14ac:dyDescent="0.2">
      <c r="A29" s="158" t="s">
        <v>161</v>
      </c>
      <c r="B29" s="159"/>
      <c r="C29" s="102">
        <f>COUNTIF(A9:A25,"&gt;=2000")</f>
        <v>4</v>
      </c>
    </row>
    <row r="30" spans="1:11" ht="13.5" thickBot="1" x14ac:dyDescent="0.25">
      <c r="A30" s="160" t="s">
        <v>188</v>
      </c>
      <c r="B30" s="161"/>
      <c r="C30" s="131">
        <f ca="1">SUMIF(E9:E25,"ventas",K9:K25)</f>
        <v>75762.5</v>
      </c>
      <c r="H30" s="15"/>
    </row>
    <row r="31" spans="1:11" ht="13.5" thickBot="1" x14ac:dyDescent="0.25">
      <c r="H31" s="15"/>
    </row>
    <row r="32" spans="1:11" x14ac:dyDescent="0.2">
      <c r="E32" s="107" t="s">
        <v>144</v>
      </c>
      <c r="F32" s="106" t="s">
        <v>253</v>
      </c>
    </row>
    <row r="33" spans="5:10" x14ac:dyDescent="0.2">
      <c r="E33" s="108" t="s">
        <v>123</v>
      </c>
      <c r="F33" s="92">
        <v>18500</v>
      </c>
    </row>
    <row r="34" spans="5:10" x14ac:dyDescent="0.2">
      <c r="E34" s="108" t="s">
        <v>104</v>
      </c>
      <c r="F34" s="92">
        <v>42100</v>
      </c>
    </row>
    <row r="35" spans="5:10" x14ac:dyDescent="0.2">
      <c r="E35" s="108" t="s">
        <v>109</v>
      </c>
      <c r="F35" s="92">
        <v>21100</v>
      </c>
    </row>
    <row r="36" spans="5:10" x14ac:dyDescent="0.2">
      <c r="E36" s="108" t="s">
        <v>137</v>
      </c>
      <c r="F36" s="92">
        <v>21500</v>
      </c>
    </row>
    <row r="37" spans="5:10" x14ac:dyDescent="0.2">
      <c r="E37" s="108" t="s">
        <v>119</v>
      </c>
      <c r="F37" s="92">
        <v>18320</v>
      </c>
    </row>
    <row r="38" spans="5:10" x14ac:dyDescent="0.2">
      <c r="E38" s="108" t="s">
        <v>130</v>
      </c>
      <c r="F38" s="92">
        <v>14780</v>
      </c>
    </row>
    <row r="39" spans="5:10" ht="13.5" thickBot="1" x14ac:dyDescent="0.25">
      <c r="E39" s="109" t="s">
        <v>114</v>
      </c>
      <c r="F39" s="93">
        <v>15950</v>
      </c>
    </row>
    <row r="41" spans="5:10" ht="13.5" thickBot="1" x14ac:dyDescent="0.25"/>
    <row r="42" spans="5:10" ht="13.5" thickBot="1" x14ac:dyDescent="0.25">
      <c r="E42" s="107" t="s">
        <v>97</v>
      </c>
      <c r="F42" s="111">
        <v>0</v>
      </c>
      <c r="G42" s="112">
        <v>5</v>
      </c>
      <c r="H42" s="113">
        <v>10</v>
      </c>
      <c r="I42" s="113">
        <v>20</v>
      </c>
      <c r="J42" s="114">
        <v>30</v>
      </c>
    </row>
    <row r="43" spans="5:10" ht="13.5" thickBot="1" x14ac:dyDescent="0.25">
      <c r="E43" s="110" t="s">
        <v>254</v>
      </c>
      <c r="F43" s="94">
        <v>0</v>
      </c>
      <c r="G43" s="94">
        <v>0.1</v>
      </c>
      <c r="H43" s="94">
        <v>0.15</v>
      </c>
      <c r="I43" s="94">
        <v>0.2</v>
      </c>
      <c r="J43" s="95">
        <v>0.25</v>
      </c>
    </row>
    <row r="100" spans="1:1" x14ac:dyDescent="0.2">
      <c r="A100" s="22">
        <v>41730</v>
      </c>
    </row>
  </sheetData>
  <sortState ref="A9:K26">
    <sortCondition ref="C9:C26"/>
  </sortState>
  <mergeCells count="6">
    <mergeCell ref="A27:B27"/>
    <mergeCell ref="A28:B28"/>
    <mergeCell ref="A29:B29"/>
    <mergeCell ref="A30:B30"/>
    <mergeCell ref="A3:K3"/>
    <mergeCell ref="A4:B4"/>
  </mergeCells>
  <phoneticPr fontId="2" type="noConversion"/>
  <dataValidations disablePrompts="1" count="1">
    <dataValidation type="date" allowBlank="1" showInputMessage="1" showErrorMessage="1" error="ERROR, No es fecha valida" prompt="ingrese fecha" sqref="D9:D25">
      <formula1>28491</formula1>
      <formula2>B6</formula2>
    </dataValidation>
  </dataValidations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Ejercicio 1</vt:lpstr>
      <vt:lpstr>Ejercicio 2</vt:lpstr>
      <vt:lpstr>Ejercicio 3</vt:lpstr>
      <vt:lpstr>Ejercicio 4</vt:lpstr>
      <vt:lpstr>Ejercicio 5</vt:lpstr>
      <vt:lpstr>Ejercicio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diego</cp:lastModifiedBy>
  <cp:lastPrinted>2005-02-11T20:38:37Z</cp:lastPrinted>
  <dcterms:created xsi:type="dcterms:W3CDTF">1996-11-27T10:00:04Z</dcterms:created>
  <dcterms:modified xsi:type="dcterms:W3CDTF">2015-10-31T20:48:50Z</dcterms:modified>
</cp:coreProperties>
</file>